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Калькуляция" sheetId="1" r:id="rId1"/>
  </sheets>
  <externalReferences>
    <externalReference r:id="rId4"/>
  </externalReferences>
  <definedNames>
    <definedName name="calc_type">'[1]Титульный'!$F$20</definedName>
    <definedName name="fil">'[1]Титульный'!$F$16</definedName>
    <definedName name="fil_flag">'[1]Титульный'!$F$13</definedName>
    <definedName name="god">'[1]Титульный'!$F$11</definedName>
    <definedName name="izm_type">'[1]Титульный'!$F$23</definedName>
    <definedName name="org">'[1]Титульный'!$F$15</definedName>
  </definedNames>
  <calcPr fullCalcOnLoad="1"/>
</workbook>
</file>

<file path=xl/sharedStrings.xml><?xml version="1.0" encoding="utf-8"?>
<sst xmlns="http://schemas.openxmlformats.org/spreadsheetml/2006/main" count="221" uniqueCount="175">
  <si>
    <t>№</t>
  </si>
  <si>
    <t>Статьи расхода</t>
  </si>
  <si>
    <t>Единица измерения</t>
  </si>
  <si>
    <t>План</t>
  </si>
  <si>
    <t>Факт</t>
  </si>
  <si>
    <t>1</t>
  </si>
  <si>
    <t>Установленная мощность (присоединенная нагрузка)</t>
  </si>
  <si>
    <t>2</t>
  </si>
  <si>
    <t>Выработка тепловой энергии</t>
  </si>
  <si>
    <t>3</t>
  </si>
  <si>
    <t>Собственные нужды источников тепла</t>
  </si>
  <si>
    <t>4</t>
  </si>
  <si>
    <t>Покупка тепловой энергии</t>
  </si>
  <si>
    <t>5</t>
  </si>
  <si>
    <t>Отпуск тепловой энергии в сеть</t>
  </si>
  <si>
    <t>6</t>
  </si>
  <si>
    <t>Потери в тепловых сетях</t>
  </si>
  <si>
    <t>6.1</t>
  </si>
  <si>
    <t>В процентах</t>
  </si>
  <si>
    <t>%</t>
  </si>
  <si>
    <t>7</t>
  </si>
  <si>
    <t>Полезный отпуск тепловой энергии</t>
  </si>
  <si>
    <t>7.1</t>
  </si>
  <si>
    <t>Собственное потребление тепловой энергии</t>
  </si>
  <si>
    <t>7.2</t>
  </si>
  <si>
    <t>Передано на сторону, в том числе:</t>
  </si>
  <si>
    <t>7.2.1</t>
  </si>
  <si>
    <t>по гр. "Население"</t>
  </si>
  <si>
    <t>7.2.2</t>
  </si>
  <si>
    <t xml:space="preserve">по гр. "Бюджетные" </t>
  </si>
  <si>
    <t>7.2.3</t>
  </si>
  <si>
    <t>по гр. "Прочие"</t>
  </si>
  <si>
    <t>7.2.3.1</t>
  </si>
  <si>
    <t>в т.ч. организациям - перепродавцам</t>
  </si>
  <si>
    <t>8</t>
  </si>
  <si>
    <t>Себестоимость(без НДС), в том числе:</t>
  </si>
  <si>
    <t>8.1</t>
  </si>
  <si>
    <t>Топливо на технологические цели</t>
  </si>
  <si>
    <t>8.2</t>
  </si>
  <si>
    <t>Электроэнергия</t>
  </si>
  <si>
    <t>8.2.1</t>
  </si>
  <si>
    <t>НН</t>
  </si>
  <si>
    <t>объем</t>
  </si>
  <si>
    <t>тариф</t>
  </si>
  <si>
    <t>руб./кВт.ч</t>
  </si>
  <si>
    <t>8.2.2</t>
  </si>
  <si>
    <t>СН1</t>
  </si>
  <si>
    <t>8.2.3</t>
  </si>
  <si>
    <t>СН2</t>
  </si>
  <si>
    <t>8.2.4</t>
  </si>
  <si>
    <t>ВН</t>
  </si>
  <si>
    <t>8.3</t>
  </si>
  <si>
    <t>Заявленная мощность</t>
  </si>
  <si>
    <t>8.3.1</t>
  </si>
  <si>
    <t xml:space="preserve">объем </t>
  </si>
  <si>
    <t>МВт в месяц</t>
  </si>
  <si>
    <t>руб./МВт в месяц</t>
  </si>
  <si>
    <t>8.3.2</t>
  </si>
  <si>
    <t>8.3.3</t>
  </si>
  <si>
    <t>8.3.4</t>
  </si>
  <si>
    <t>8.4</t>
  </si>
  <si>
    <t>Вода, в т.ч.</t>
  </si>
  <si>
    <t>8.4.1</t>
  </si>
  <si>
    <t xml:space="preserve">Водоснабжение </t>
  </si>
  <si>
    <t>руб./куб.м</t>
  </si>
  <si>
    <t>8.4.2</t>
  </si>
  <si>
    <t>Водоотведение</t>
  </si>
  <si>
    <t>куб.м</t>
  </si>
  <si>
    <t>8.5</t>
  </si>
  <si>
    <t>Затраты на покупку тепловой энергии</t>
  </si>
  <si>
    <t>руб./Гкал</t>
  </si>
  <si>
    <t>8.6</t>
  </si>
  <si>
    <t>Оплата тепловых потерь</t>
  </si>
  <si>
    <t>8.7</t>
  </si>
  <si>
    <t>Оплата теплоносителя</t>
  </si>
  <si>
    <t>8.8</t>
  </si>
  <si>
    <t>Сырье и материалы</t>
  </si>
  <si>
    <t>8.9</t>
  </si>
  <si>
    <t>Фонд оплаты труда</t>
  </si>
  <si>
    <t>8.9.1</t>
  </si>
  <si>
    <t>Среднемесячная заработная плата</t>
  </si>
  <si>
    <t>8.9.2</t>
  </si>
  <si>
    <t>Численность</t>
  </si>
  <si>
    <t>чел</t>
  </si>
  <si>
    <t>8.10</t>
  </si>
  <si>
    <t>Отчисления от ФОТ, всего</t>
  </si>
  <si>
    <t>8.11</t>
  </si>
  <si>
    <t>Амортизация ОФ</t>
  </si>
  <si>
    <t>8.12</t>
  </si>
  <si>
    <t>Услуги производственного характера</t>
  </si>
  <si>
    <t>8.12.1</t>
  </si>
  <si>
    <t>Капитальный ремонт</t>
  </si>
  <si>
    <t>8.12.2</t>
  </si>
  <si>
    <t>Текущий ремонт</t>
  </si>
  <si>
    <r>
      <t>Добавить услугу</t>
    </r>
    <r>
      <rPr>
        <b/>
        <i/>
        <sz val="9"/>
        <color indexed="12"/>
        <rFont val="Tahoma"/>
        <family val="2"/>
      </rPr>
      <t xml:space="preserve"> (по двойному клику)</t>
    </r>
  </si>
  <si>
    <t>8.13</t>
  </si>
  <si>
    <t>Цеховые расходы</t>
  </si>
  <si>
    <t>8.13.1</t>
  </si>
  <si>
    <t>Заработная плата цехового персонала</t>
  </si>
  <si>
    <t>8.13.2</t>
  </si>
  <si>
    <t>Численность цехового персонала, распределяемого на регулируемый вид деятельности</t>
  </si>
  <si>
    <t>ед.</t>
  </si>
  <si>
    <t>8.13.3</t>
  </si>
  <si>
    <t>Отчисления на соц.нужды от заработной платы цехового персонала</t>
  </si>
  <si>
    <r>
      <t>Добавить цеховые расходы</t>
    </r>
    <r>
      <rPr>
        <b/>
        <i/>
        <sz val="9"/>
        <color indexed="12"/>
        <rFont val="Tahoma"/>
        <family val="2"/>
      </rPr>
      <t xml:space="preserve"> (по двойному клику)</t>
    </r>
  </si>
  <si>
    <t>8.14</t>
  </si>
  <si>
    <t>Общехозяйственные расходы</t>
  </si>
  <si>
    <t>8.14.1</t>
  </si>
  <si>
    <t>Заработная плата АУП</t>
  </si>
  <si>
    <t>8.14.1.1</t>
  </si>
  <si>
    <t>численность АУП, распределяемого на регулируемый вид деятельности</t>
  </si>
  <si>
    <t>8.14.2</t>
  </si>
  <si>
    <t>Отчисления на соц.нужды от заработной платы АУП</t>
  </si>
  <si>
    <t>8.14.3</t>
  </si>
  <si>
    <t>Целевые средства на НИОКР</t>
  </si>
  <si>
    <t>8.14.4</t>
  </si>
  <si>
    <t>Средства на страхование</t>
  </si>
  <si>
    <t>8.14.5</t>
  </si>
  <si>
    <t>Плата за предельно допустимые выбросы (сбросы) загрязняющих веществ</t>
  </si>
  <si>
    <t>8.14.6</t>
  </si>
  <si>
    <t>Отчисления в ремонтный фонд в случае его формирования</t>
  </si>
  <si>
    <t>8.14.7</t>
  </si>
  <si>
    <t>Непроизводственные расходы (налоги и другие обязательные платежи и сборы) всего, в том числе:</t>
  </si>
  <si>
    <t>8.14.7.1</t>
  </si>
  <si>
    <t>налог на землю</t>
  </si>
  <si>
    <t>8.14.7.2</t>
  </si>
  <si>
    <t>налог на имущество</t>
  </si>
  <si>
    <t>8.14.8</t>
  </si>
  <si>
    <t>Другие затраты, относимые на себестоимость продукции всего, в том числе:</t>
  </si>
  <si>
    <t>8.14.8.1</t>
  </si>
  <si>
    <t>аренда</t>
  </si>
  <si>
    <r>
      <t>Добавить другие затраты</t>
    </r>
    <r>
      <rPr>
        <b/>
        <i/>
        <sz val="9"/>
        <color indexed="12"/>
        <rFont val="Tahoma"/>
        <family val="2"/>
      </rPr>
      <t xml:space="preserve"> (по двойному клику)</t>
    </r>
  </si>
  <si>
    <t>8.15</t>
  </si>
  <si>
    <t>Недополученный по независящим причинам доход</t>
  </si>
  <si>
    <t>8.16</t>
  </si>
  <si>
    <t>Избыток средств, полученный в предыдущем периоде регулирования</t>
  </si>
  <si>
    <r>
      <t>Добавить статью себестоимости</t>
    </r>
    <r>
      <rPr>
        <b/>
        <i/>
        <sz val="9"/>
        <color indexed="12"/>
        <rFont val="Tahoma"/>
        <family val="2"/>
      </rPr>
      <t xml:space="preserve"> (по двойному клику)</t>
    </r>
  </si>
  <si>
    <t>9</t>
  </si>
  <si>
    <t>Итого себестоимость</t>
  </si>
  <si>
    <t>10</t>
  </si>
  <si>
    <t>Валовая прибыль</t>
  </si>
  <si>
    <t>10.1</t>
  </si>
  <si>
    <t>Прибыль на развитие производства (капитальные вложения)</t>
  </si>
  <si>
    <t>10.2</t>
  </si>
  <si>
    <t>Прибыль на социальное развитие</t>
  </si>
  <si>
    <t>10.3</t>
  </si>
  <si>
    <t>Прибыль на поощрение</t>
  </si>
  <si>
    <t>10.4</t>
  </si>
  <si>
    <t>Прибыль на прочие цели</t>
  </si>
  <si>
    <t>10.4.0</t>
  </si>
  <si>
    <r>
      <t>Добавить прибыль на прочие цели</t>
    </r>
    <r>
      <rPr>
        <b/>
        <i/>
        <sz val="9"/>
        <color indexed="12"/>
        <rFont val="Tahoma"/>
        <family val="2"/>
      </rPr>
      <t xml:space="preserve"> (по двойному клику)</t>
    </r>
  </si>
  <si>
    <t>10.5</t>
  </si>
  <si>
    <t>Налоги, сборы, платежи - всего, в том числе:</t>
  </si>
  <si>
    <t>10.5.1</t>
  </si>
  <si>
    <t>на прибыль</t>
  </si>
  <si>
    <t>другие налоги</t>
  </si>
  <si>
    <t>11</t>
  </si>
  <si>
    <t>Уровень рентабельности</t>
  </si>
  <si>
    <t>12</t>
  </si>
  <si>
    <t>Необходимая валовая выручка</t>
  </si>
  <si>
    <t>13</t>
  </si>
  <si>
    <t>Тариф</t>
  </si>
  <si>
    <t>Факт с 01.01.20112</t>
  </si>
  <si>
    <t>Факт с 01.07.2012</t>
  </si>
  <si>
    <t>Ожидаемое выполнение с 01.09.2012</t>
  </si>
  <si>
    <t>Предложение организации</t>
  </si>
  <si>
    <t>Предложение РЭК Москвы</t>
  </si>
  <si>
    <t>с 01.01.2013</t>
  </si>
  <si>
    <t>с 01.07.2013</t>
  </si>
  <si>
    <t>прочие цеховые расходы</t>
  </si>
  <si>
    <t>прочие расходы</t>
  </si>
  <si>
    <t>транспортный налог</t>
  </si>
  <si>
    <t>8.14.7.3</t>
  </si>
  <si>
    <t>План 2014</t>
  </si>
  <si>
    <t>ФАКТ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</si>
</sst>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1"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sz val="10"/>
      <name val="Arial Cyr"/>
      <family val="0"/>
    </font>
    <font>
      <b/>
      <sz val="9"/>
      <color indexed="55"/>
      <name val="Tahoma"/>
      <family val="2"/>
    </font>
    <font>
      <sz val="11"/>
      <color indexed="8"/>
      <name val="Marlett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sz val="11"/>
      <color indexed="9"/>
      <name val="Marlett"/>
      <family val="0"/>
    </font>
    <font>
      <b/>
      <u val="single"/>
      <sz val="9"/>
      <color indexed="12"/>
      <name val="Tahoma"/>
      <family val="2"/>
    </font>
    <font>
      <b/>
      <i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/>
      <top style="thin"/>
      <bottom/>
    </border>
    <border>
      <left/>
      <right/>
      <top style="thin"/>
      <bottom style="thin"/>
    </border>
    <border>
      <left style="thin"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/>
      <top style="thin"/>
      <bottom style="medium">
        <color indexed="63"/>
      </bottom>
    </border>
    <border>
      <left style="thin">
        <color indexed="63"/>
      </left>
      <right style="thin"/>
      <top/>
      <bottom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/>
      <top/>
      <bottom/>
    </border>
    <border>
      <left/>
      <right style="thin"/>
      <top style="thin"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" fontId="1" fillId="0" borderId="0" xfId="61" applyNumberFormat="1" applyFont="1" applyAlignment="1" applyProtection="1">
      <alignment vertical="center"/>
      <protection/>
    </xf>
    <xf numFmtId="4" fontId="3" fillId="0" borderId="0" xfId="61" applyNumberFormat="1" applyFont="1" applyAlignment="1" applyProtection="1">
      <alignment vertical="center"/>
      <protection/>
    </xf>
    <xf numFmtId="4" fontId="2" fillId="0" borderId="10" xfId="59" applyNumberFormat="1" applyFont="1" applyBorder="1" applyAlignment="1" applyProtection="1">
      <alignment horizontal="center" vertical="center" wrapText="1"/>
      <protection/>
    </xf>
    <xf numFmtId="4" fontId="6" fillId="0" borderId="0" xfId="61" applyNumberFormat="1" applyFont="1" applyAlignment="1" applyProtection="1">
      <alignment vertical="center"/>
      <protection/>
    </xf>
    <xf numFmtId="4" fontId="2" fillId="0" borderId="11" xfId="59" applyNumberFormat="1" applyFont="1" applyBorder="1" applyAlignment="1" applyProtection="1">
      <alignment horizontal="center" vertical="center"/>
      <protection/>
    </xf>
    <xf numFmtId="4" fontId="7" fillId="0" borderId="12" xfId="59" applyNumberFormat="1" applyFont="1" applyBorder="1" applyAlignment="1" applyProtection="1">
      <alignment horizontal="left" vertical="center" wrapText="1"/>
      <protection/>
    </xf>
    <xf numFmtId="4" fontId="7" fillId="0" borderId="13" xfId="59" applyNumberFormat="1" applyFont="1" applyBorder="1" applyAlignment="1" applyProtection="1">
      <alignment horizontal="center" vertical="center" wrapText="1"/>
      <protection/>
    </xf>
    <xf numFmtId="4" fontId="2" fillId="0" borderId="14" xfId="59" applyNumberFormat="1" applyFont="1" applyBorder="1" applyAlignment="1" applyProtection="1">
      <alignment horizontal="center" vertical="center"/>
      <protection/>
    </xf>
    <xf numFmtId="4" fontId="7" fillId="0" borderId="15" xfId="59" applyNumberFormat="1" applyFont="1" applyBorder="1" applyAlignment="1" applyProtection="1">
      <alignment horizontal="left" vertical="center" wrapText="1"/>
      <protection/>
    </xf>
    <xf numFmtId="4" fontId="7" fillId="0" borderId="16" xfId="59" applyNumberFormat="1" applyFont="1" applyBorder="1" applyAlignment="1" applyProtection="1">
      <alignment horizontal="center" vertical="center" wrapText="1"/>
      <protection/>
    </xf>
    <xf numFmtId="4" fontId="2" fillId="22" borderId="15" xfId="59" applyNumberFormat="1" applyFont="1" applyFill="1" applyBorder="1" applyAlignment="1" applyProtection="1">
      <alignment horizontal="right" vertical="center"/>
      <protection locked="0"/>
    </xf>
    <xf numFmtId="4" fontId="2" fillId="4" borderId="15" xfId="59" applyNumberFormat="1" applyFont="1" applyFill="1" applyBorder="1" applyAlignment="1" applyProtection="1">
      <alignment horizontal="right" vertical="center"/>
      <protection/>
    </xf>
    <xf numFmtId="4" fontId="7" fillId="0" borderId="15" xfId="59" applyNumberFormat="1" applyFont="1" applyBorder="1" applyAlignment="1" applyProtection="1">
      <alignment vertical="center" wrapText="1"/>
      <protection/>
    </xf>
    <xf numFmtId="4" fontId="1" fillId="0" borderId="14" xfId="59" applyNumberFormat="1" applyFont="1" applyBorder="1" applyAlignment="1" applyProtection="1">
      <alignment horizontal="center" vertical="center"/>
      <protection/>
    </xf>
    <xf numFmtId="4" fontId="8" fillId="0" borderId="15" xfId="59" applyNumberFormat="1" applyFont="1" applyBorder="1" applyAlignment="1" applyProtection="1">
      <alignment horizontal="left" vertical="center" wrapText="1" indent="1"/>
      <protection/>
    </xf>
    <xf numFmtId="4" fontId="1" fillId="0" borderId="16" xfId="59" applyNumberFormat="1" applyFont="1" applyBorder="1" applyAlignment="1" applyProtection="1">
      <alignment horizontal="center" vertical="center" wrapText="1"/>
      <protection/>
    </xf>
    <xf numFmtId="4" fontId="1" fillId="4" borderId="15" xfId="59" applyNumberFormat="1" applyFont="1" applyFill="1" applyBorder="1" applyAlignment="1" applyProtection="1">
      <alignment horizontal="right" vertical="center"/>
      <protection/>
    </xf>
    <xf numFmtId="4" fontId="8" fillId="0" borderId="16" xfId="59" applyNumberFormat="1" applyFont="1" applyBorder="1" applyAlignment="1" applyProtection="1">
      <alignment horizontal="center" vertical="center" wrapText="1"/>
      <protection/>
    </xf>
    <xf numFmtId="4" fontId="1" fillId="22" borderId="15" xfId="59" applyNumberFormat="1" applyFont="1" applyFill="1" applyBorder="1" applyAlignment="1" applyProtection="1">
      <alignment horizontal="right" vertical="center"/>
      <protection locked="0"/>
    </xf>
    <xf numFmtId="4" fontId="1" fillId="0" borderId="15" xfId="59" applyNumberFormat="1" applyFont="1" applyBorder="1" applyAlignment="1" applyProtection="1">
      <alignment horizontal="left" vertical="center" wrapText="1" indent="2"/>
      <protection/>
    </xf>
    <xf numFmtId="4" fontId="1" fillId="0" borderId="17" xfId="59" applyNumberFormat="1" applyFont="1" applyBorder="1" applyAlignment="1" applyProtection="1">
      <alignment horizontal="center" vertical="center"/>
      <protection/>
    </xf>
    <xf numFmtId="4" fontId="1" fillId="0" borderId="15" xfId="59" applyNumberFormat="1" applyFont="1" applyBorder="1" applyAlignment="1" applyProtection="1">
      <alignment horizontal="left" vertical="center" wrapText="1" indent="3"/>
      <protection/>
    </xf>
    <xf numFmtId="4" fontId="2" fillId="20" borderId="8" xfId="59" applyNumberFormat="1" applyFont="1" applyFill="1" applyBorder="1" applyAlignment="1" applyProtection="1">
      <alignment horizontal="center" vertical="center" wrapText="1"/>
      <protection/>
    </xf>
    <xf numFmtId="4" fontId="2" fillId="20" borderId="18" xfId="59" applyNumberFormat="1" applyFont="1" applyFill="1" applyBorder="1" applyAlignment="1" applyProtection="1">
      <alignment vertical="center" wrapText="1"/>
      <protection/>
    </xf>
    <xf numFmtId="4" fontId="1" fillId="20" borderId="18" xfId="59" applyNumberFormat="1" applyFont="1" applyFill="1" applyBorder="1" applyAlignment="1" applyProtection="1">
      <alignment horizontal="center" vertical="center" wrapText="1"/>
      <protection/>
    </xf>
    <xf numFmtId="4" fontId="1" fillId="0" borderId="19" xfId="59" applyNumberFormat="1" applyFont="1" applyBorder="1" applyAlignment="1" applyProtection="1">
      <alignment horizontal="center" vertical="center"/>
      <protection/>
    </xf>
    <xf numFmtId="4" fontId="1" fillId="0" borderId="15" xfId="59" applyNumberFormat="1" applyFont="1" applyBorder="1" applyAlignment="1" applyProtection="1">
      <alignment horizontal="left" vertical="center" wrapText="1" indent="1"/>
      <protection/>
    </xf>
    <xf numFmtId="4" fontId="8" fillId="4" borderId="15" xfId="60" applyNumberFormat="1" applyFont="1" applyFill="1" applyBorder="1" applyAlignment="1" applyProtection="1">
      <alignment horizontal="right" vertical="center"/>
      <protection/>
    </xf>
    <xf numFmtId="4" fontId="8" fillId="0" borderId="15" xfId="58" applyNumberFormat="1" applyFont="1" applyFill="1" applyBorder="1" applyAlignment="1" applyProtection="1">
      <alignment horizontal="left" vertical="center" wrapText="1" indent="3"/>
      <protection/>
    </xf>
    <xf numFmtId="4" fontId="8" fillId="0" borderId="15" xfId="60" applyNumberFormat="1" applyFont="1" applyFill="1" applyBorder="1" applyAlignment="1" applyProtection="1">
      <alignment horizontal="left" vertical="center" wrapText="1" indent="3"/>
      <protection/>
    </xf>
    <xf numFmtId="4" fontId="8" fillId="0" borderId="16" xfId="60" applyNumberFormat="1" applyFont="1" applyFill="1" applyBorder="1" applyAlignment="1" applyProtection="1">
      <alignment horizontal="center" vertical="center" wrapText="1"/>
      <protection/>
    </xf>
    <xf numFmtId="4" fontId="8" fillId="0" borderId="15" xfId="60" applyNumberFormat="1" applyFont="1" applyFill="1" applyBorder="1" applyAlignment="1" applyProtection="1">
      <alignment horizontal="left" vertical="center" wrapText="1" indent="1"/>
      <protection/>
    </xf>
    <xf numFmtId="4" fontId="8" fillId="0" borderId="15" xfId="60" applyNumberFormat="1" applyFont="1" applyFill="1" applyBorder="1" applyAlignment="1" applyProtection="1">
      <alignment horizontal="left" vertical="center" wrapText="1" indent="2"/>
      <protection/>
    </xf>
    <xf numFmtId="4" fontId="9" fillId="0" borderId="0" xfId="60" applyNumberFormat="1" applyFont="1" applyFill="1" applyBorder="1" applyAlignment="1" applyProtection="1">
      <alignment vertical="center"/>
      <protection/>
    </xf>
    <xf numFmtId="4" fontId="10" fillId="0" borderId="0" xfId="60" applyNumberFormat="1" applyFont="1" applyFill="1" applyBorder="1" applyAlignment="1" applyProtection="1">
      <alignment vertical="center"/>
      <protection/>
    </xf>
    <xf numFmtId="4" fontId="3" fillId="0" borderId="0" xfId="60" applyNumberFormat="1" applyFont="1" applyFill="1" applyBorder="1" applyAlignment="1" applyProtection="1">
      <alignment vertical="center"/>
      <protection/>
    </xf>
    <xf numFmtId="4" fontId="8" fillId="22" borderId="15" xfId="60" applyNumberFormat="1" applyFont="1" applyFill="1" applyBorder="1" applyAlignment="1" applyProtection="1">
      <alignment horizontal="right" vertical="center"/>
      <protection locked="0"/>
    </xf>
    <xf numFmtId="4" fontId="1" fillId="0" borderId="16" xfId="59" applyNumberFormat="1" applyFont="1" applyFill="1" applyBorder="1" applyAlignment="1" applyProtection="1">
      <alignment horizontal="center" vertical="center" wrapText="1"/>
      <protection/>
    </xf>
    <xf numFmtId="4" fontId="1" fillId="0" borderId="20" xfId="59" applyNumberFormat="1" applyFont="1" applyBorder="1" applyAlignment="1" applyProtection="1">
      <alignment horizontal="left" vertical="center" wrapText="1" indent="1"/>
      <protection/>
    </xf>
    <xf numFmtId="4" fontId="1" fillId="0" borderId="21" xfId="59" applyNumberFormat="1" applyFont="1" applyBorder="1" applyAlignment="1" applyProtection="1">
      <alignment horizontal="left" vertical="center" wrapText="1" indent="1"/>
      <protection/>
    </xf>
    <xf numFmtId="4" fontId="1" fillId="0" borderId="21" xfId="59" applyNumberFormat="1" applyFont="1" applyBorder="1" applyAlignment="1" applyProtection="1">
      <alignment horizontal="left" vertical="center" wrapText="1" indent="2"/>
      <protection/>
    </xf>
    <xf numFmtId="4" fontId="1" fillId="0" borderId="22" xfId="59" applyNumberFormat="1" applyFont="1" applyBorder="1" applyAlignment="1" applyProtection="1">
      <alignment horizontal="center" vertical="center"/>
      <protection/>
    </xf>
    <xf numFmtId="4" fontId="1" fillId="0" borderId="15" xfId="59" applyNumberFormat="1" applyFont="1" applyFill="1" applyBorder="1" applyAlignment="1" applyProtection="1">
      <alignment horizontal="right" vertical="center"/>
      <protection/>
    </xf>
    <xf numFmtId="4" fontId="1" fillId="24" borderId="23" xfId="59" applyNumberFormat="1" applyFont="1" applyFill="1" applyBorder="1" applyAlignment="1" applyProtection="1">
      <alignment horizontal="center" vertical="center"/>
      <protection/>
    </xf>
    <xf numFmtId="4" fontId="11" fillId="24" borderId="18" xfId="0" applyNumberFormat="1" applyFont="1" applyFill="1" applyBorder="1" applyAlignment="1" applyProtection="1">
      <alignment horizontal="left" vertical="center" indent="1"/>
      <protection/>
    </xf>
    <xf numFmtId="4" fontId="1" fillId="24" borderId="18" xfId="59" applyNumberFormat="1" applyFont="1" applyFill="1" applyBorder="1" applyAlignment="1" applyProtection="1">
      <alignment horizontal="center" vertical="center" wrapText="1"/>
      <protection/>
    </xf>
    <xf numFmtId="4" fontId="8" fillId="0" borderId="21" xfId="59" applyNumberFormat="1" applyFont="1" applyBorder="1" applyAlignment="1" applyProtection="1">
      <alignment horizontal="left" vertical="center" wrapText="1" indent="2"/>
      <protection/>
    </xf>
    <xf numFmtId="4" fontId="1" fillId="0" borderId="24" xfId="59" applyNumberFormat="1" applyFont="1" applyFill="1" applyBorder="1" applyAlignment="1" applyProtection="1">
      <alignment horizontal="center" vertical="center" wrapText="1"/>
      <protection/>
    </xf>
    <xf numFmtId="4" fontId="1" fillId="0" borderId="21" xfId="59" applyNumberFormat="1" applyFont="1" applyBorder="1" applyAlignment="1" applyProtection="1">
      <alignment horizontal="left" vertical="center" wrapText="1" indent="3"/>
      <protection/>
    </xf>
    <xf numFmtId="4" fontId="1" fillId="0" borderId="25" xfId="59" applyNumberFormat="1" applyFont="1" applyFill="1" applyBorder="1" applyAlignment="1" applyProtection="1">
      <alignment horizontal="center" vertical="center" wrapText="1"/>
      <protection/>
    </xf>
    <xf numFmtId="4" fontId="2" fillId="0" borderId="14" xfId="59" applyNumberFormat="1" applyFont="1" applyFill="1" applyBorder="1" applyAlignment="1" applyProtection="1">
      <alignment horizontal="center" vertical="center"/>
      <protection/>
    </xf>
    <xf numFmtId="4" fontId="2" fillId="0" borderId="20" xfId="59" applyNumberFormat="1" applyFont="1" applyFill="1" applyBorder="1" applyAlignment="1" applyProtection="1">
      <alignment vertical="center" wrapText="1"/>
      <protection/>
    </xf>
    <xf numFmtId="4" fontId="7" fillId="0" borderId="16" xfId="59" applyNumberFormat="1" applyFont="1" applyFill="1" applyBorder="1" applyAlignment="1" applyProtection="1">
      <alignment horizontal="center" vertical="center" wrapText="1"/>
      <protection/>
    </xf>
    <xf numFmtId="4" fontId="2" fillId="0" borderId="15" xfId="59" applyNumberFormat="1" applyFont="1" applyFill="1" applyBorder="1" applyAlignment="1" applyProtection="1">
      <alignment vertical="center" wrapText="1"/>
      <protection/>
    </xf>
    <xf numFmtId="4" fontId="1" fillId="0" borderId="23" xfId="59" applyNumberFormat="1" applyFont="1" applyBorder="1" applyAlignment="1" applyProtection="1">
      <alignment horizontal="center" vertical="center"/>
      <protection/>
    </xf>
    <xf numFmtId="4" fontId="1" fillId="0" borderId="18" xfId="59" applyNumberFormat="1" applyFont="1" applyBorder="1" applyAlignment="1" applyProtection="1">
      <alignment horizontal="left" vertical="center" wrapText="1" indent="2"/>
      <protection/>
    </xf>
    <xf numFmtId="4" fontId="8" fillId="0" borderId="18" xfId="59" applyNumberFormat="1" applyFont="1" applyBorder="1" applyAlignment="1" applyProtection="1">
      <alignment horizontal="center" vertical="center" wrapText="1"/>
      <protection/>
    </xf>
    <xf numFmtId="4" fontId="1" fillId="0" borderId="15" xfId="59" applyNumberFormat="1" applyFont="1" applyBorder="1" applyAlignment="1" applyProtection="1">
      <alignment vertical="center" wrapText="1"/>
      <protection/>
    </xf>
    <xf numFmtId="4" fontId="2" fillId="0" borderId="17" xfId="59" applyNumberFormat="1" applyFont="1" applyFill="1" applyBorder="1" applyAlignment="1" applyProtection="1">
      <alignment horizontal="center" vertical="center"/>
      <protection/>
    </xf>
    <xf numFmtId="4" fontId="2" fillId="0" borderId="21" xfId="59" applyNumberFormat="1" applyFont="1" applyFill="1" applyBorder="1" applyAlignment="1" applyProtection="1">
      <alignment vertical="center" wrapText="1"/>
      <protection/>
    </xf>
    <xf numFmtId="4" fontId="2" fillId="0" borderId="26" xfId="59" applyNumberFormat="1" applyFont="1" applyFill="1" applyBorder="1" applyAlignment="1" applyProtection="1">
      <alignment horizontal="center" vertical="center"/>
      <protection/>
    </xf>
    <xf numFmtId="4" fontId="2" fillId="0" borderId="10" xfId="59" applyNumberFormat="1" applyFont="1" applyFill="1" applyBorder="1" applyAlignment="1" applyProtection="1">
      <alignment vertical="center" wrapText="1"/>
      <protection/>
    </xf>
    <xf numFmtId="4" fontId="2" fillId="0" borderId="27" xfId="59" applyNumberFormat="1" applyFont="1" applyFill="1" applyBorder="1" applyAlignment="1" applyProtection="1">
      <alignment horizontal="center" vertical="center" wrapText="1"/>
      <protection/>
    </xf>
    <xf numFmtId="4" fontId="3" fillId="22" borderId="15" xfId="59" applyNumberFormat="1" applyFont="1" applyFill="1" applyBorder="1" applyAlignment="1" applyProtection="1">
      <alignment horizontal="right" vertical="center"/>
      <protection locked="0"/>
    </xf>
    <xf numFmtId="4" fontId="8" fillId="22" borderId="15" xfId="59" applyNumberFormat="1" applyFont="1" applyFill="1" applyBorder="1" applyAlignment="1" applyProtection="1">
      <alignment horizontal="right" vertical="center"/>
      <protection locked="0"/>
    </xf>
    <xf numFmtId="4" fontId="7" fillId="22" borderId="15" xfId="60" applyNumberFormat="1" applyFont="1" applyFill="1" applyBorder="1" applyAlignment="1" applyProtection="1">
      <alignment horizontal="right" vertical="center"/>
      <protection locked="0"/>
    </xf>
    <xf numFmtId="4" fontId="7" fillId="4" borderId="15" xfId="60" applyNumberFormat="1" applyFont="1" applyFill="1" applyBorder="1" applyAlignment="1" applyProtection="1">
      <alignment horizontal="right" vertical="center"/>
      <protection/>
    </xf>
    <xf numFmtId="4" fontId="7" fillId="22" borderId="15" xfId="59" applyNumberFormat="1" applyFont="1" applyFill="1" applyBorder="1" applyAlignment="1" applyProtection="1">
      <alignment horizontal="right" vertical="center"/>
      <protection locked="0"/>
    </xf>
    <xf numFmtId="3" fontId="5" fillId="0" borderId="0" xfId="62" applyNumberFormat="1" applyFont="1" applyBorder="1" applyAlignment="1" applyProtection="1">
      <alignment horizontal="center" vertical="center" wrapText="1"/>
      <protection/>
    </xf>
    <xf numFmtId="4" fontId="8" fillId="0" borderId="0" xfId="61" applyNumberFormat="1" applyFont="1" applyAlignment="1" applyProtection="1">
      <alignment vertical="center"/>
      <protection/>
    </xf>
    <xf numFmtId="4" fontId="8" fillId="4" borderId="15" xfId="59" applyNumberFormat="1" applyFont="1" applyFill="1" applyBorder="1" applyAlignment="1" applyProtection="1">
      <alignment horizontal="right" vertical="center"/>
      <protection/>
    </xf>
    <xf numFmtId="4" fontId="7" fillId="4" borderId="15" xfId="59" applyNumberFormat="1" applyFont="1" applyFill="1" applyBorder="1" applyAlignment="1" applyProtection="1">
      <alignment horizontal="right" vertical="center"/>
      <protection/>
    </xf>
    <xf numFmtId="4" fontId="1" fillId="20" borderId="15" xfId="59" applyNumberFormat="1" applyFont="1" applyFill="1" applyBorder="1" applyAlignment="1" applyProtection="1">
      <alignment horizontal="right" vertical="center"/>
      <protection/>
    </xf>
    <xf numFmtId="4" fontId="8" fillId="20" borderId="15" xfId="59" applyNumberFormat="1" applyFont="1" applyFill="1" applyBorder="1" applyAlignment="1" applyProtection="1">
      <alignment horizontal="right" vertical="center"/>
      <protection/>
    </xf>
    <xf numFmtId="4" fontId="8" fillId="0" borderId="15" xfId="59" applyNumberFormat="1" applyFont="1" applyFill="1" applyBorder="1" applyAlignment="1" applyProtection="1">
      <alignment horizontal="right" vertical="center"/>
      <protection/>
    </xf>
    <xf numFmtId="4" fontId="1" fillId="24" borderId="15" xfId="59" applyNumberFormat="1" applyFont="1" applyFill="1" applyBorder="1" applyAlignment="1" applyProtection="1">
      <alignment horizontal="right" vertical="center"/>
      <protection/>
    </xf>
    <xf numFmtId="4" fontId="8" fillId="24" borderId="15" xfId="59" applyNumberFormat="1" applyFont="1" applyFill="1" applyBorder="1" applyAlignment="1" applyProtection="1">
      <alignment horizontal="right" vertical="center"/>
      <protection/>
    </xf>
    <xf numFmtId="3" fontId="5" fillId="0" borderId="15" xfId="62" applyNumberFormat="1" applyFont="1" applyBorder="1" applyAlignment="1" applyProtection="1">
      <alignment horizontal="center" vertical="center" wrapText="1"/>
      <protection/>
    </xf>
    <xf numFmtId="4" fontId="7" fillId="0" borderId="15" xfId="59" applyNumberFormat="1" applyFont="1" applyBorder="1" applyAlignment="1" applyProtection="1">
      <alignment horizontal="center" vertical="center" wrapText="1"/>
      <protection/>
    </xf>
    <xf numFmtId="4" fontId="2" fillId="0" borderId="15" xfId="59" applyNumberFormat="1" applyFont="1" applyBorder="1" applyAlignment="1" applyProtection="1">
      <alignment horizontal="center" vertical="center" wrapText="1"/>
      <protection/>
    </xf>
    <xf numFmtId="3" fontId="7" fillId="0" borderId="15" xfId="62" applyNumberFormat="1" applyFont="1" applyBorder="1" applyAlignment="1" applyProtection="1">
      <alignment horizontal="center" vertical="center" wrapText="1"/>
      <protection/>
    </xf>
    <xf numFmtId="4" fontId="29" fillId="0" borderId="27" xfId="59" applyNumberFormat="1" applyFont="1" applyBorder="1" applyAlignment="1" applyProtection="1">
      <alignment horizontal="center" vertical="center" wrapText="1"/>
      <protection/>
    </xf>
    <xf numFmtId="3" fontId="29" fillId="0" borderId="0" xfId="62" applyNumberFormat="1" applyFont="1" applyBorder="1" applyAlignment="1" applyProtection="1">
      <alignment horizontal="center" vertical="center" wrapText="1"/>
      <protection/>
    </xf>
    <xf numFmtId="4" fontId="29" fillId="22" borderId="16" xfId="59" applyNumberFormat="1" applyFont="1" applyFill="1" applyBorder="1" applyAlignment="1" applyProtection="1">
      <alignment horizontal="right" vertical="center"/>
      <protection locked="0"/>
    </xf>
    <xf numFmtId="4" fontId="29" fillId="4" borderId="16" xfId="59" applyNumberFormat="1" applyFont="1" applyFill="1" applyBorder="1" applyAlignment="1" applyProtection="1">
      <alignment horizontal="right" vertical="center"/>
      <protection/>
    </xf>
    <xf numFmtId="4" fontId="30" fillId="4" borderId="16" xfId="59" applyNumberFormat="1" applyFont="1" applyFill="1" applyBorder="1" applyAlignment="1" applyProtection="1">
      <alignment horizontal="right" vertical="center"/>
      <protection/>
    </xf>
    <xf numFmtId="4" fontId="30" fillId="22" borderId="16" xfId="59" applyNumberFormat="1" applyFont="1" applyFill="1" applyBorder="1" applyAlignment="1" applyProtection="1">
      <alignment horizontal="right" vertical="center"/>
      <protection locked="0"/>
    </xf>
    <xf numFmtId="4" fontId="30" fillId="20" borderId="16" xfId="59" applyNumberFormat="1" applyFont="1" applyFill="1" applyBorder="1" applyAlignment="1" applyProtection="1">
      <alignment horizontal="right" vertical="center"/>
      <protection/>
    </xf>
    <xf numFmtId="4" fontId="29" fillId="4" borderId="16" xfId="60" applyNumberFormat="1" applyFont="1" applyFill="1" applyBorder="1" applyAlignment="1" applyProtection="1">
      <alignment horizontal="right" vertical="center"/>
      <protection/>
    </xf>
    <xf numFmtId="4" fontId="30" fillId="4" borderId="16" xfId="60" applyNumberFormat="1" applyFont="1" applyFill="1" applyBorder="1" applyAlignment="1" applyProtection="1">
      <alignment horizontal="right" vertical="center"/>
      <protection/>
    </xf>
    <xf numFmtId="4" fontId="30" fillId="22" borderId="16" xfId="60" applyNumberFormat="1" applyFont="1" applyFill="1" applyBorder="1" applyAlignment="1" applyProtection="1">
      <alignment horizontal="right" vertical="center"/>
      <protection locked="0"/>
    </xf>
    <xf numFmtId="4" fontId="29" fillId="22" borderId="16" xfId="60" applyNumberFormat="1" applyFont="1" applyFill="1" applyBorder="1" applyAlignment="1" applyProtection="1">
      <alignment horizontal="right" vertical="center"/>
      <protection locked="0"/>
    </xf>
    <xf numFmtId="4" fontId="30" fillId="0" borderId="16" xfId="59" applyNumberFormat="1" applyFont="1" applyFill="1" applyBorder="1" applyAlignment="1" applyProtection="1">
      <alignment horizontal="right" vertical="center"/>
      <protection/>
    </xf>
    <xf numFmtId="4" fontId="30" fillId="24" borderId="16" xfId="59" applyNumberFormat="1" applyFont="1" applyFill="1" applyBorder="1" applyAlignment="1" applyProtection="1">
      <alignment horizontal="right" vertical="center"/>
      <protection/>
    </xf>
    <xf numFmtId="164" fontId="30" fillId="22" borderId="16" xfId="59" applyNumberFormat="1" applyFont="1" applyFill="1" applyBorder="1" applyAlignment="1" applyProtection="1">
      <alignment horizontal="right" vertical="center"/>
      <protection locked="0"/>
    </xf>
    <xf numFmtId="164" fontId="30" fillId="4" borderId="16" xfId="59" applyNumberFormat="1" applyFont="1" applyFill="1" applyBorder="1" applyAlignment="1" applyProtection="1">
      <alignment horizontal="right" vertical="center"/>
      <protection/>
    </xf>
    <xf numFmtId="164" fontId="29" fillId="4" borderId="16" xfId="59" applyNumberFormat="1" applyFont="1" applyFill="1" applyBorder="1" applyAlignment="1" applyProtection="1">
      <alignment horizontal="right" vertical="center"/>
      <protection/>
    </xf>
    <xf numFmtId="164" fontId="30" fillId="22" borderId="16" xfId="60" applyNumberFormat="1" applyFont="1" applyFill="1" applyBorder="1" applyAlignment="1" applyProtection="1">
      <alignment horizontal="right" vertical="center"/>
      <protection locked="0"/>
    </xf>
    <xf numFmtId="4" fontId="3" fillId="22" borderId="16" xfId="59" applyNumberFormat="1" applyFont="1" applyFill="1" applyBorder="1" applyAlignment="1" applyProtection="1">
      <alignment horizontal="right" vertical="center"/>
      <protection locked="0"/>
    </xf>
    <xf numFmtId="4" fontId="3" fillId="0" borderId="16" xfId="59" applyNumberFormat="1" applyFont="1" applyFill="1" applyBorder="1" applyAlignment="1" applyProtection="1">
      <alignment horizontal="right" vertical="center"/>
      <protection/>
    </xf>
    <xf numFmtId="4" fontId="3" fillId="24" borderId="16" xfId="59" applyNumberFormat="1" applyFont="1" applyFill="1" applyBorder="1" applyAlignment="1" applyProtection="1">
      <alignment horizontal="right" vertical="center"/>
      <protection/>
    </xf>
    <xf numFmtId="4" fontId="3" fillId="22" borderId="16" xfId="59" applyNumberFormat="1" applyFont="1" applyFill="1" applyBorder="1" applyAlignment="1" applyProtection="1">
      <alignment horizontal="right" vertical="center"/>
      <protection locked="0"/>
    </xf>
    <xf numFmtId="4" fontId="3" fillId="22" borderId="16" xfId="60" applyNumberFormat="1" applyFont="1" applyFill="1" applyBorder="1" applyAlignment="1" applyProtection="1">
      <alignment horizontal="right" vertical="center"/>
      <protection locked="0"/>
    </xf>
    <xf numFmtId="4" fontId="29" fillId="22" borderId="15" xfId="59" applyNumberFormat="1" applyFont="1" applyFill="1" applyBorder="1" applyAlignment="1" applyProtection="1">
      <alignment horizontal="right" vertical="center"/>
      <protection locked="0"/>
    </xf>
    <xf numFmtId="164" fontId="29" fillId="22" borderId="15" xfId="59" applyNumberFormat="1" applyFont="1" applyFill="1" applyBorder="1" applyAlignment="1" applyProtection="1">
      <alignment horizontal="right" vertical="center"/>
      <protection locked="0"/>
    </xf>
    <xf numFmtId="164" fontId="29" fillId="4" borderId="15" xfId="59" applyNumberFormat="1" applyFont="1" applyFill="1" applyBorder="1" applyAlignment="1" applyProtection="1">
      <alignment horizontal="right" vertical="center"/>
      <protection/>
    </xf>
    <xf numFmtId="4" fontId="30" fillId="4" borderId="15" xfId="59" applyNumberFormat="1" applyFont="1" applyFill="1" applyBorder="1" applyAlignment="1" applyProtection="1">
      <alignment horizontal="right" vertical="center"/>
      <protection/>
    </xf>
    <xf numFmtId="164" fontId="30" fillId="22" borderId="15" xfId="59" applyNumberFormat="1" applyFont="1" applyFill="1" applyBorder="1" applyAlignment="1" applyProtection="1">
      <alignment horizontal="right" vertical="center"/>
      <protection locked="0"/>
    </xf>
    <xf numFmtId="164" fontId="30" fillId="4" borderId="15" xfId="59" applyNumberFormat="1" applyFont="1" applyFill="1" applyBorder="1" applyAlignment="1" applyProtection="1">
      <alignment horizontal="right" vertical="center"/>
      <protection/>
    </xf>
    <xf numFmtId="4" fontId="30" fillId="22" borderId="15" xfId="59" applyNumberFormat="1" applyFont="1" applyFill="1" applyBorder="1" applyAlignment="1" applyProtection="1">
      <alignment horizontal="right" vertical="center"/>
      <protection locked="0"/>
    </xf>
    <xf numFmtId="4" fontId="29" fillId="4" borderId="15" xfId="60" applyNumberFormat="1" applyFont="1" applyFill="1" applyBorder="1" applyAlignment="1" applyProtection="1">
      <alignment horizontal="right" vertical="center"/>
      <protection/>
    </xf>
    <xf numFmtId="4" fontId="30" fillId="4" borderId="15" xfId="60" applyNumberFormat="1" applyFont="1" applyFill="1" applyBorder="1" applyAlignment="1" applyProtection="1">
      <alignment horizontal="right" vertical="center"/>
      <protection/>
    </xf>
    <xf numFmtId="4" fontId="29" fillId="4" borderId="15" xfId="59" applyNumberFormat="1" applyFont="1" applyFill="1" applyBorder="1" applyAlignment="1" applyProtection="1">
      <alignment horizontal="right" vertical="center"/>
      <protection/>
    </xf>
    <xf numFmtId="4" fontId="30" fillId="22" borderId="15" xfId="60" applyNumberFormat="1" applyFont="1" applyFill="1" applyBorder="1" applyAlignment="1" applyProtection="1">
      <alignment horizontal="right" vertical="center"/>
      <protection locked="0"/>
    </xf>
    <xf numFmtId="4" fontId="29" fillId="22" borderId="15" xfId="60" applyNumberFormat="1" applyFont="1" applyFill="1" applyBorder="1" applyAlignment="1" applyProtection="1">
      <alignment horizontal="right" vertical="center"/>
      <protection locked="0"/>
    </xf>
    <xf numFmtId="4" fontId="3" fillId="24" borderId="15" xfId="59" applyNumberFormat="1" applyFont="1" applyFill="1" applyBorder="1" applyAlignment="1" applyProtection="1">
      <alignment horizontal="right" vertical="center"/>
      <protection/>
    </xf>
    <xf numFmtId="4" fontId="3" fillId="22" borderId="15" xfId="60" applyNumberFormat="1" applyFont="1" applyFill="1" applyBorder="1" applyAlignment="1" applyProtection="1">
      <alignment horizontal="right" vertical="center"/>
      <protection locked="0"/>
    </xf>
    <xf numFmtId="164" fontId="29" fillId="22" borderId="16" xfId="59" applyNumberFormat="1" applyFont="1" applyFill="1" applyBorder="1" applyAlignment="1" applyProtection="1">
      <alignment horizontal="right" vertical="center"/>
      <protection locked="0"/>
    </xf>
    <xf numFmtId="164" fontId="7" fillId="22" borderId="15" xfId="59" applyNumberFormat="1" applyFont="1" applyFill="1" applyBorder="1" applyAlignment="1" applyProtection="1">
      <alignment horizontal="right" vertical="center"/>
      <protection locked="0"/>
    </xf>
    <xf numFmtId="4" fontId="30" fillId="0" borderId="15" xfId="59" applyNumberFormat="1" applyFont="1" applyFill="1" applyBorder="1" applyAlignment="1" applyProtection="1">
      <alignment horizontal="right" vertical="center"/>
      <protection/>
    </xf>
    <xf numFmtId="4" fontId="30" fillId="24" borderId="15" xfId="59" applyNumberFormat="1" applyFont="1" applyFill="1" applyBorder="1" applyAlignment="1" applyProtection="1">
      <alignment horizontal="right" vertical="center"/>
      <protection/>
    </xf>
    <xf numFmtId="4" fontId="1" fillId="0" borderId="17" xfId="59" applyNumberFormat="1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/>
      <protection/>
    </xf>
    <xf numFmtId="4" fontId="2" fillId="0" borderId="29" xfId="59" applyNumberFormat="1" applyFont="1" applyBorder="1" applyAlignment="1" applyProtection="1">
      <alignment horizontal="center" vertical="center" wrapText="1"/>
      <protection/>
    </xf>
    <xf numFmtId="4" fontId="2" fillId="0" borderId="26" xfId="59" applyNumberFormat="1" applyFont="1" applyBorder="1" applyAlignment="1" applyProtection="1">
      <alignment horizontal="center" vertical="center" wrapText="1"/>
      <protection/>
    </xf>
    <xf numFmtId="4" fontId="2" fillId="0" borderId="30" xfId="59" applyNumberFormat="1" applyFont="1" applyBorder="1" applyAlignment="1" applyProtection="1">
      <alignment horizontal="center" vertical="center" wrapText="1"/>
      <protection/>
    </xf>
    <xf numFmtId="4" fontId="2" fillId="0" borderId="10" xfId="59" applyNumberFormat="1" applyFont="1" applyBorder="1" applyAlignment="1" applyProtection="1">
      <alignment horizontal="center" vertical="center" wrapText="1"/>
      <protection/>
    </xf>
    <xf numFmtId="4" fontId="1" fillId="0" borderId="28" xfId="59" applyNumberFormat="1" applyFont="1" applyBorder="1" applyAlignment="1" applyProtection="1">
      <alignment horizontal="center" vertical="center"/>
      <protection/>
    </xf>
    <xf numFmtId="4" fontId="1" fillId="0" borderId="19" xfId="59" applyNumberFormat="1" applyFont="1" applyBorder="1" applyAlignment="1" applyProtection="1">
      <alignment horizontal="center" vertical="center"/>
      <protection/>
    </xf>
    <xf numFmtId="4" fontId="29" fillId="0" borderId="31" xfId="59" applyNumberFormat="1" applyFont="1" applyBorder="1" applyAlignment="1" applyProtection="1">
      <alignment horizontal="center" vertical="center" wrapText="1"/>
      <protection/>
    </xf>
    <xf numFmtId="4" fontId="29" fillId="0" borderId="32" xfId="59" applyNumberFormat="1" applyFont="1" applyBorder="1" applyAlignment="1" applyProtection="1">
      <alignment horizontal="center" vertical="center" wrapText="1"/>
      <protection/>
    </xf>
    <xf numFmtId="4" fontId="2" fillId="0" borderId="33" xfId="59" applyNumberFormat="1" applyFont="1" applyBorder="1" applyAlignment="1" applyProtection="1">
      <alignment horizontal="center" vertical="center" wrapText="1"/>
      <protection/>
    </xf>
    <xf numFmtId="4" fontId="2" fillId="0" borderId="34" xfId="59" applyNumberFormat="1" applyFont="1" applyBorder="1" applyAlignment="1" applyProtection="1">
      <alignment horizontal="center" vertical="center" wrapText="1"/>
      <protection/>
    </xf>
    <xf numFmtId="4" fontId="2" fillId="0" borderId="35" xfId="59" applyNumberFormat="1" applyFont="1" applyBorder="1" applyAlignment="1" applyProtection="1">
      <alignment horizontal="center" vertical="center" wrapText="1"/>
      <protection/>
    </xf>
    <xf numFmtId="4" fontId="2" fillId="0" borderId="15" xfId="59" applyNumberFormat="1" applyFont="1" applyBorder="1" applyAlignment="1" applyProtection="1">
      <alignment horizontal="center" vertical="center" wrapText="1"/>
      <protection/>
    </xf>
    <xf numFmtId="4" fontId="2" fillId="2" borderId="36" xfId="59" applyNumberFormat="1" applyFont="1" applyFill="1" applyBorder="1" applyAlignment="1" applyProtection="1">
      <alignment horizontal="center" vertical="center"/>
      <protection/>
    </xf>
    <xf numFmtId="4" fontId="2" fillId="2" borderId="0" xfId="59" applyNumberFormat="1" applyFont="1" applyFill="1" applyBorder="1" applyAlignment="1" applyProtection="1">
      <alignment horizontal="center" vertical="center"/>
      <protection/>
    </xf>
    <xf numFmtId="4" fontId="2" fillId="0" borderId="13" xfId="59" applyNumberFormat="1" applyFont="1" applyBorder="1" applyAlignment="1" applyProtection="1">
      <alignment horizontal="center" vertical="center" wrapText="1"/>
      <protection/>
    </xf>
    <xf numFmtId="4" fontId="2" fillId="0" borderId="37" xfId="59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20E2" xfId="58"/>
    <cellStyle name="Обычный_Калькуляция расходов на производство и передачу ТЭ" xfId="59"/>
    <cellStyle name="Обычный_Калькуляция расходов по передаче ТЭ" xfId="60"/>
    <cellStyle name="Обычный_Калькуляция теплоснабжения (объединенная) - правка РЭК, Аня 11.04.2012" xfId="61"/>
    <cellStyle name="Обычный_Полезный отпуск электроэнергии и мощности, реализуемой по регулируемым ценам" xfId="62"/>
    <cellStyle name="Percen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kripitsyna\AppData\Local\Temp\Temp1_CALC_TE_2013_PLAN_1_77.zip\CALC.TE.2013.PLAN.1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алькуляция"/>
      <sheetName val="Топливо"/>
      <sheetName val="Комментарии"/>
      <sheetName val="Проверка"/>
      <sheetName val="TEHSHEET"/>
      <sheetName val="et_union"/>
      <sheetName val="modDblClick"/>
      <sheetName val="modUpdTemplMain"/>
      <sheetName val="AllSheetsInThisWorkbook"/>
      <sheetName val="REESTR_ORG"/>
      <sheetName val="REESTR_FILTERED"/>
      <sheetName val="modHyp"/>
      <sheetName val="modChange"/>
      <sheetName val="modCheck"/>
      <sheetName val="modServiceModule"/>
      <sheetName val="modCommandButton"/>
      <sheetName val="modReestr"/>
      <sheetName val="modClassifierValidate"/>
      <sheetName val="modInfo"/>
      <sheetName val="modfrmReestr"/>
    </sheetNames>
    <sheetDataSet>
      <sheetData sheetId="3">
        <row r="11">
          <cell r="F11">
            <v>2013</v>
          </cell>
        </row>
        <row r="13">
          <cell r="F13" t="str">
            <v>нет</v>
          </cell>
        </row>
        <row r="15">
          <cell r="F15" t="str">
            <v>ЗАО "ПОЛЕТ-ИНЖЕНЕР"</v>
          </cell>
        </row>
        <row r="20">
          <cell r="F20" t="str">
            <v>Калькуляция на поставку потребителям приобретенной тепловой энергии</v>
          </cell>
        </row>
        <row r="23">
          <cell r="F23" t="str">
            <v>руб.,Гкал</v>
          </cell>
        </row>
      </sheetData>
      <sheetData sheetId="5"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22"/>
  <sheetViews>
    <sheetView tabSelected="1" zoomScalePageLayoutView="0" workbookViewId="0" topLeftCell="E4">
      <selection activeCell="M70" sqref="M70"/>
    </sheetView>
  </sheetViews>
  <sheetFormatPr defaultColWidth="9.140625" defaultRowHeight="15"/>
  <cols>
    <col min="1" max="2" width="0" style="1" hidden="1" customWidth="1"/>
    <col min="3" max="3" width="5.7109375" style="1" customWidth="1"/>
    <col min="4" max="4" width="10.7109375" style="1" customWidth="1"/>
    <col min="5" max="5" width="56.140625" style="1" customWidth="1"/>
    <col min="6" max="12" width="15.7109375" style="1" customWidth="1"/>
    <col min="13" max="13" width="15.7109375" style="70" customWidth="1"/>
    <col min="14" max="17" width="15.7109375" style="1" customWidth="1"/>
    <col min="18" max="18" width="9.140625" style="1" customWidth="1"/>
    <col min="19" max="19" width="11.7109375" style="1" bestFit="1" customWidth="1"/>
    <col min="20" max="251" width="9.140625" style="1" customWidth="1"/>
    <col min="252" max="253" width="0" style="1" hidden="1" customWidth="1"/>
    <col min="254" max="254" width="5.7109375" style="1" customWidth="1"/>
    <col min="255" max="255" width="10.7109375" style="1" customWidth="1"/>
    <col min="256" max="16384" width="56.140625" style="1" customWidth="1"/>
  </cols>
  <sheetData>
    <row r="1" ht="11.25" hidden="1"/>
    <row r="2" ht="11.25" hidden="1"/>
    <row r="3" ht="11.25" hidden="1"/>
    <row r="4" spans="4:16" ht="15" customHeight="1">
      <c r="D4" s="137" t="str">
        <f>IF(calc_type&lt;&gt;"",calc_type,"Калькуляция расходов на тепловую энергию")</f>
        <v>Калькуляция на поставку потребителям приобретенной тепловой энергии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4:16" ht="15" customHeight="1">
      <c r="D5" s="137" t="str">
        <f>IF(fil_flag="да",fil&amp;" (филиал "&amp;org&amp;")",org)</f>
        <v>ЗАО "ПОЛЕТ-ИНЖЕНЕР"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4:17" ht="33.75" customHeight="1">
      <c r="D6" s="125" t="s">
        <v>0</v>
      </c>
      <c r="E6" s="127" t="s">
        <v>1</v>
      </c>
      <c r="F6" s="127" t="s">
        <v>2</v>
      </c>
      <c r="G6" s="139" t="str">
        <f>"Предшествующий период регулирования ("&amp;god-2&amp;" г.)"</f>
        <v>Предшествующий период регулирования (2011 г.)</v>
      </c>
      <c r="H6" s="140"/>
      <c r="I6" s="133" t="str">
        <f>"Текущий период ("&amp;god-1&amp;" г.)"</f>
        <v>Текущий период (2012 г.)</v>
      </c>
      <c r="J6" s="134"/>
      <c r="K6" s="134"/>
      <c r="L6" s="135"/>
      <c r="M6" s="136" t="str">
        <f>"Период регулирования ("&amp;god&amp;" г.)"</f>
        <v>Период регулирования (2013 г.)</v>
      </c>
      <c r="N6" s="136"/>
      <c r="O6" s="136"/>
      <c r="P6" s="136"/>
      <c r="Q6" s="131" t="s">
        <v>173</v>
      </c>
    </row>
    <row r="7" spans="4:17" ht="34.5" thickBot="1">
      <c r="D7" s="126"/>
      <c r="E7" s="128"/>
      <c r="F7" s="128"/>
      <c r="G7" s="3" t="s">
        <v>3</v>
      </c>
      <c r="H7" s="3" t="s">
        <v>4</v>
      </c>
      <c r="I7" s="3" t="s">
        <v>162</v>
      </c>
      <c r="J7" s="3" t="s">
        <v>163</v>
      </c>
      <c r="K7" s="3" t="s">
        <v>164</v>
      </c>
      <c r="L7" s="82" t="s">
        <v>174</v>
      </c>
      <c r="M7" s="79" t="s">
        <v>165</v>
      </c>
      <c r="N7" s="80" t="s">
        <v>166</v>
      </c>
      <c r="O7" s="80" t="s">
        <v>167</v>
      </c>
      <c r="P7" s="80" t="s">
        <v>168</v>
      </c>
      <c r="Q7" s="132"/>
    </row>
    <row r="8" spans="4:17" ht="11.25" hidden="1">
      <c r="D8" s="69">
        <v>1</v>
      </c>
      <c r="E8" s="69">
        <v>2</v>
      </c>
      <c r="F8" s="69">
        <v>3</v>
      </c>
      <c r="G8" s="69">
        <v>4</v>
      </c>
      <c r="H8" s="69">
        <v>5</v>
      </c>
      <c r="I8" s="69">
        <f>H8+1</f>
        <v>6</v>
      </c>
      <c r="J8" s="69">
        <f aca="true" t="shared" si="0" ref="J8:P8">I8+1</f>
        <v>7</v>
      </c>
      <c r="K8" s="69">
        <f>J8+1</f>
        <v>8</v>
      </c>
      <c r="L8" s="83">
        <f>K8+1</f>
        <v>9</v>
      </c>
      <c r="M8" s="81">
        <f>L8+1</f>
        <v>10</v>
      </c>
      <c r="N8" s="78">
        <f t="shared" si="0"/>
        <v>11</v>
      </c>
      <c r="O8" s="78">
        <f t="shared" si="0"/>
        <v>12</v>
      </c>
      <c r="P8" s="78">
        <f t="shared" si="0"/>
        <v>13</v>
      </c>
      <c r="Q8" s="83">
        <v>5</v>
      </c>
    </row>
    <row r="9" spans="3:17" ht="15">
      <c r="C9" s="4"/>
      <c r="D9" s="5" t="s">
        <v>5</v>
      </c>
      <c r="E9" s="6" t="s">
        <v>6</v>
      </c>
      <c r="F9" s="7" t="str">
        <f>IF(izm_type&lt;&gt;"руб.,Гкал","тыс.","")&amp;"Гкал/ч"</f>
        <v>Гкал/ч</v>
      </c>
      <c r="G9" s="11"/>
      <c r="H9" s="11"/>
      <c r="I9" s="11"/>
      <c r="J9" s="11"/>
      <c r="K9" s="11"/>
      <c r="L9" s="84"/>
      <c r="M9" s="68"/>
      <c r="N9" s="11"/>
      <c r="O9" s="11"/>
      <c r="P9" s="11"/>
      <c r="Q9" s="104"/>
    </row>
    <row r="10" spans="3:17" ht="15">
      <c r="C10" s="4"/>
      <c r="D10" s="8" t="s">
        <v>7</v>
      </c>
      <c r="E10" s="9" t="s">
        <v>8</v>
      </c>
      <c r="F10" s="10" t="str">
        <f>IF(izm_type&lt;&gt;"руб.,Гкал","тыс.","")&amp;"Гкал"</f>
        <v>Гкал</v>
      </c>
      <c r="G10" s="11"/>
      <c r="H10" s="11"/>
      <c r="I10" s="11"/>
      <c r="J10" s="11"/>
      <c r="K10" s="11"/>
      <c r="L10" s="84"/>
      <c r="M10" s="68"/>
      <c r="N10" s="11"/>
      <c r="O10" s="11"/>
      <c r="P10" s="11"/>
      <c r="Q10" s="104"/>
    </row>
    <row r="11" spans="3:17" ht="15">
      <c r="C11" s="4"/>
      <c r="D11" s="8" t="s">
        <v>9</v>
      </c>
      <c r="E11" s="9" t="s">
        <v>10</v>
      </c>
      <c r="F11" s="10" t="str">
        <f>IF(izm_type&lt;&gt;"руб.,Гкал","тыс.","")&amp;"Гкал"</f>
        <v>Гкал</v>
      </c>
      <c r="G11" s="11"/>
      <c r="H11" s="11"/>
      <c r="I11" s="11"/>
      <c r="J11" s="11"/>
      <c r="K11" s="11"/>
      <c r="L11" s="84"/>
      <c r="M11" s="68"/>
      <c r="N11" s="68"/>
      <c r="O11" s="68"/>
      <c r="P11" s="68"/>
      <c r="Q11" s="104"/>
    </row>
    <row r="12" spans="3:17" ht="15">
      <c r="C12" s="4"/>
      <c r="D12" s="8" t="s">
        <v>11</v>
      </c>
      <c r="E12" s="9" t="s">
        <v>12</v>
      </c>
      <c r="F12" s="10" t="str">
        <f>IF(izm_type&lt;&gt;"руб.,Гкал","тыс.","")&amp;"Гкал"</f>
        <v>Гкал</v>
      </c>
      <c r="G12" s="11">
        <v>13636</v>
      </c>
      <c r="H12" s="11">
        <f>H59</f>
        <v>13100.290000000003</v>
      </c>
      <c r="I12" s="11">
        <f>I59</f>
        <v>8470.273999999998</v>
      </c>
      <c r="J12" s="11">
        <f>J59</f>
        <v>161.071</v>
      </c>
      <c r="K12" s="11">
        <v>4317.446</v>
      </c>
      <c r="L12" s="118">
        <f>L13</f>
        <v>13135.125</v>
      </c>
      <c r="M12" s="68">
        <v>13746</v>
      </c>
      <c r="N12" s="119">
        <f>O12+P12</f>
        <v>13745.832999999999</v>
      </c>
      <c r="O12" s="68">
        <v>8721.74</v>
      </c>
      <c r="P12" s="68">
        <v>5024.093</v>
      </c>
      <c r="Q12" s="105">
        <f>Q13</f>
        <v>13157.601</v>
      </c>
    </row>
    <row r="13" spans="3:17" ht="15">
      <c r="C13" s="4"/>
      <c r="D13" s="8" t="s">
        <v>13</v>
      </c>
      <c r="E13" s="9" t="s">
        <v>14</v>
      </c>
      <c r="F13" s="10" t="str">
        <f>IF(izm_type&lt;&gt;"руб.,Гкал","тыс.","")&amp;"Гкал"</f>
        <v>Гкал</v>
      </c>
      <c r="G13" s="12">
        <f aca="true" t="shared" si="1" ref="G13:P13">G14+G16</f>
        <v>13636</v>
      </c>
      <c r="H13" s="12">
        <f t="shared" si="1"/>
        <v>13100.294</v>
      </c>
      <c r="I13" s="12">
        <f t="shared" si="1"/>
        <v>8470.273999999998</v>
      </c>
      <c r="J13" s="12">
        <f t="shared" si="1"/>
        <v>161.071</v>
      </c>
      <c r="K13" s="12">
        <f t="shared" si="1"/>
        <v>4317.446</v>
      </c>
      <c r="L13" s="97">
        <f t="shared" si="1"/>
        <v>13135.125</v>
      </c>
      <c r="M13" s="72">
        <f t="shared" si="1"/>
        <v>13746.002</v>
      </c>
      <c r="N13" s="72">
        <f t="shared" si="1"/>
        <v>13745.833</v>
      </c>
      <c r="O13" s="72">
        <f t="shared" si="1"/>
        <v>8721.74</v>
      </c>
      <c r="P13" s="72">
        <f t="shared" si="1"/>
        <v>5024.093000000001</v>
      </c>
      <c r="Q13" s="106">
        <f>Q14+Q16</f>
        <v>13157.601</v>
      </c>
    </row>
    <row r="14" spans="3:17" ht="15">
      <c r="C14" s="4"/>
      <c r="D14" s="8" t="s">
        <v>15</v>
      </c>
      <c r="E14" s="13" t="s">
        <v>16</v>
      </c>
      <c r="F14" s="10" t="str">
        <f>IF(izm_type&lt;&gt;"руб.,Гкал","тыс.","")&amp;"Гкал"</f>
        <v>Гкал</v>
      </c>
      <c r="G14" s="11">
        <v>300</v>
      </c>
      <c r="H14" s="11">
        <v>319</v>
      </c>
      <c r="I14" s="11">
        <v>150.006612</v>
      </c>
      <c r="J14" s="11">
        <v>11.3545777</v>
      </c>
      <c r="K14" s="11">
        <v>143.3961378</v>
      </c>
      <c r="L14" s="84">
        <v>371.724</v>
      </c>
      <c r="M14" s="68">
        <v>335</v>
      </c>
      <c r="N14" s="119">
        <f>O14+P14</f>
        <v>334.992</v>
      </c>
      <c r="O14" s="68">
        <v>213.08800000000002</v>
      </c>
      <c r="P14" s="68">
        <v>121.904</v>
      </c>
      <c r="Q14" s="104">
        <v>376.307</v>
      </c>
    </row>
    <row r="15" spans="3:17" ht="15">
      <c r="C15" s="4"/>
      <c r="D15" s="14" t="s">
        <v>17</v>
      </c>
      <c r="E15" s="15" t="s">
        <v>18</v>
      </c>
      <c r="F15" s="16" t="s">
        <v>19</v>
      </c>
      <c r="G15" s="17">
        <f>(G14/G13*100)</f>
        <v>2.200058668231153</v>
      </c>
      <c r="H15" s="17">
        <f>(H14/H13*100)</f>
        <v>2.435059854381894</v>
      </c>
      <c r="I15" s="17">
        <f>(I14/I13*100)</f>
        <v>1.7709770899973252</v>
      </c>
      <c r="J15" s="17">
        <f>(J14/J13*100)</f>
        <v>7.049423980728996</v>
      </c>
      <c r="K15" s="17">
        <f>(K14/K13*100)</f>
        <v>3.3213186175345326</v>
      </c>
      <c r="L15" s="86">
        <v>2.83</v>
      </c>
      <c r="M15" s="71">
        <f>(M14/M13*100)</f>
        <v>2.4370722483526484</v>
      </c>
      <c r="N15" s="71">
        <f>(N14/N13*100)</f>
        <v>2.4370440118107064</v>
      </c>
      <c r="O15" s="71">
        <f>(O14/O13*100)</f>
        <v>2.4431822090546156</v>
      </c>
      <c r="P15" s="71">
        <f>(P14/P13*100)</f>
        <v>2.426388205791572</v>
      </c>
      <c r="Q15" s="107">
        <v>2.86</v>
      </c>
    </row>
    <row r="16" spans="3:17" ht="15">
      <c r="C16" s="4"/>
      <c r="D16" s="8" t="s">
        <v>20</v>
      </c>
      <c r="E16" s="13" t="s">
        <v>21</v>
      </c>
      <c r="F16" s="10" t="str">
        <f aca="true" t="shared" si="2" ref="F16:F22">IF(izm_type&lt;&gt;"руб.,Гкал","тыс.","")&amp;"Гкал"</f>
        <v>Гкал</v>
      </c>
      <c r="G16" s="12">
        <f aca="true" t="shared" si="3" ref="G16:P16">G17+G18</f>
        <v>13336</v>
      </c>
      <c r="H16" s="12">
        <f t="shared" si="3"/>
        <v>12781.294</v>
      </c>
      <c r="I16" s="12">
        <f t="shared" si="3"/>
        <v>8320.267387999998</v>
      </c>
      <c r="J16" s="12">
        <f t="shared" si="3"/>
        <v>149.7164223</v>
      </c>
      <c r="K16" s="12">
        <f t="shared" si="3"/>
        <v>4174.0498622</v>
      </c>
      <c r="L16" s="97">
        <f t="shared" si="3"/>
        <v>12763.401</v>
      </c>
      <c r="M16" s="72">
        <f t="shared" si="3"/>
        <v>13411.002</v>
      </c>
      <c r="N16" s="72">
        <f t="shared" si="3"/>
        <v>13410.841</v>
      </c>
      <c r="O16" s="72">
        <f t="shared" si="3"/>
        <v>8508.652</v>
      </c>
      <c r="P16" s="72">
        <f t="shared" si="3"/>
        <v>4902.189</v>
      </c>
      <c r="Q16" s="106">
        <f>Q17+Q18</f>
        <v>12781.294</v>
      </c>
    </row>
    <row r="17" spans="3:17" ht="15">
      <c r="C17" s="4"/>
      <c r="D17" s="14" t="s">
        <v>22</v>
      </c>
      <c r="E17" s="15" t="s">
        <v>23</v>
      </c>
      <c r="F17" s="18" t="str">
        <f t="shared" si="2"/>
        <v>Гкал</v>
      </c>
      <c r="G17" s="19"/>
      <c r="H17" s="19">
        <v>32.23</v>
      </c>
      <c r="I17" s="19">
        <v>17.687</v>
      </c>
      <c r="J17" s="19">
        <v>1.7679999999999998</v>
      </c>
      <c r="K17" s="19">
        <v>10.132</v>
      </c>
      <c r="L17" s="95">
        <v>29.317</v>
      </c>
      <c r="M17" s="65">
        <v>32.232</v>
      </c>
      <c r="N17" s="65">
        <f>O17+P17</f>
        <v>32.232</v>
      </c>
      <c r="O17" s="65">
        <v>20.298</v>
      </c>
      <c r="P17" s="65">
        <v>11.934</v>
      </c>
      <c r="Q17" s="108">
        <v>32.23</v>
      </c>
    </row>
    <row r="18" spans="3:17" ht="15">
      <c r="C18" s="4"/>
      <c r="D18" s="14" t="s">
        <v>24</v>
      </c>
      <c r="E18" s="15" t="s">
        <v>25</v>
      </c>
      <c r="F18" s="18" t="str">
        <f t="shared" si="2"/>
        <v>Гкал</v>
      </c>
      <c r="G18" s="17">
        <f aca="true" t="shared" si="4" ref="G18:P18">SUM(G19:G21)</f>
        <v>13336</v>
      </c>
      <c r="H18" s="17">
        <f t="shared" si="4"/>
        <v>12749.064</v>
      </c>
      <c r="I18" s="17">
        <f t="shared" si="4"/>
        <v>8302.580387999998</v>
      </c>
      <c r="J18" s="17">
        <f t="shared" si="4"/>
        <v>147.9484223</v>
      </c>
      <c r="K18" s="17">
        <f t="shared" si="4"/>
        <v>4163.9178622</v>
      </c>
      <c r="L18" s="96">
        <f t="shared" si="4"/>
        <v>12734.084</v>
      </c>
      <c r="M18" s="71">
        <f t="shared" si="4"/>
        <v>13378.77</v>
      </c>
      <c r="N18" s="71">
        <f t="shared" si="4"/>
        <v>13378.609</v>
      </c>
      <c r="O18" s="71">
        <f t="shared" si="4"/>
        <v>8488.354</v>
      </c>
      <c r="P18" s="71">
        <f t="shared" si="4"/>
        <v>4890.255</v>
      </c>
      <c r="Q18" s="109">
        <f>SUM(Q19:Q21)</f>
        <v>12749.064</v>
      </c>
    </row>
    <row r="19" spans="3:17" ht="15">
      <c r="C19" s="4"/>
      <c r="D19" s="14" t="s">
        <v>26</v>
      </c>
      <c r="E19" s="20" t="s">
        <v>27</v>
      </c>
      <c r="F19" s="18" t="str">
        <f t="shared" si="2"/>
        <v>Гкал</v>
      </c>
      <c r="G19" s="19"/>
      <c r="H19" s="19"/>
      <c r="I19" s="19"/>
      <c r="J19" s="19"/>
      <c r="K19" s="19"/>
      <c r="L19" s="87"/>
      <c r="M19" s="65"/>
      <c r="N19" s="65"/>
      <c r="O19" s="65"/>
      <c r="P19" s="65"/>
      <c r="Q19" s="110"/>
    </row>
    <row r="20" spans="3:17" ht="15">
      <c r="C20" s="4"/>
      <c r="D20" s="14" t="s">
        <v>28</v>
      </c>
      <c r="E20" s="20" t="s">
        <v>29</v>
      </c>
      <c r="F20" s="18" t="str">
        <f t="shared" si="2"/>
        <v>Гкал</v>
      </c>
      <c r="G20" s="19"/>
      <c r="H20" s="19"/>
      <c r="I20" s="19"/>
      <c r="J20" s="19"/>
      <c r="K20" s="19"/>
      <c r="L20" s="87"/>
      <c r="M20" s="65"/>
      <c r="N20" s="65"/>
      <c r="O20" s="65"/>
      <c r="P20" s="65"/>
      <c r="Q20" s="110"/>
    </row>
    <row r="21" spans="3:17" ht="15">
      <c r="C21" s="4"/>
      <c r="D21" s="14" t="s">
        <v>30</v>
      </c>
      <c r="E21" s="20" t="s">
        <v>31</v>
      </c>
      <c r="F21" s="18" t="str">
        <f t="shared" si="2"/>
        <v>Гкал</v>
      </c>
      <c r="G21" s="19">
        <v>13336</v>
      </c>
      <c r="H21" s="19">
        <v>12749.064</v>
      </c>
      <c r="I21" s="19">
        <v>8302.580387999998</v>
      </c>
      <c r="J21" s="19">
        <v>147.9484223</v>
      </c>
      <c r="K21" s="19">
        <v>4163.9178622</v>
      </c>
      <c r="L21" s="95">
        <v>12734.084</v>
      </c>
      <c r="M21" s="65">
        <v>13378.77</v>
      </c>
      <c r="N21" s="65">
        <f>O21+P21</f>
        <v>13378.609</v>
      </c>
      <c r="O21" s="65">
        <v>8488.354</v>
      </c>
      <c r="P21" s="65">
        <v>4890.255</v>
      </c>
      <c r="Q21" s="108">
        <v>12749.064</v>
      </c>
    </row>
    <row r="22" spans="3:17" ht="15">
      <c r="C22" s="4"/>
      <c r="D22" s="21" t="s">
        <v>32</v>
      </c>
      <c r="E22" s="22" t="s">
        <v>33</v>
      </c>
      <c r="F22" s="18" t="str">
        <f t="shared" si="2"/>
        <v>Гкал</v>
      </c>
      <c r="G22" s="19"/>
      <c r="H22" s="19"/>
      <c r="I22" s="19"/>
      <c r="J22" s="19"/>
      <c r="K22" s="19"/>
      <c r="L22" s="87"/>
      <c r="M22" s="65"/>
      <c r="N22" s="65"/>
      <c r="O22" s="65"/>
      <c r="P22" s="65"/>
      <c r="Q22" s="110"/>
    </row>
    <row r="23" spans="3:17" ht="15">
      <c r="C23" s="4"/>
      <c r="D23" s="23" t="s">
        <v>34</v>
      </c>
      <c r="E23" s="24" t="s">
        <v>35</v>
      </c>
      <c r="F23" s="25"/>
      <c r="G23" s="73"/>
      <c r="H23" s="73"/>
      <c r="I23" s="73"/>
      <c r="J23" s="73"/>
      <c r="K23" s="73"/>
      <c r="L23" s="88"/>
      <c r="M23" s="74"/>
      <c r="N23" s="73"/>
      <c r="O23" s="73"/>
      <c r="P23" s="73"/>
      <c r="Q23" s="73"/>
    </row>
    <row r="24" spans="3:17" ht="15" hidden="1">
      <c r="C24" s="4"/>
      <c r="D24" s="26" t="s">
        <v>36</v>
      </c>
      <c r="E24" s="27" t="s">
        <v>37</v>
      </c>
      <c r="F24" s="18" t="str">
        <f>IF(izm_type&lt;&gt;"руб.,Гкал","тыс.","")&amp;"руб."</f>
        <v>руб.</v>
      </c>
      <c r="G24" s="17">
        <f>'[1]Топливо'!G11</f>
        <v>0</v>
      </c>
      <c r="H24" s="17">
        <f>'[1]Топливо'!H11</f>
        <v>0</v>
      </c>
      <c r="I24" s="17">
        <f>'[1]Топливо'!I11</f>
        <v>0</v>
      </c>
      <c r="J24" s="17">
        <f>'[1]Топливо'!J11</f>
        <v>0</v>
      </c>
      <c r="K24" s="17">
        <f>'[1]Топливо'!I11</f>
        <v>0</v>
      </c>
      <c r="L24" s="86">
        <f>'[1]Топливо'!J11</f>
        <v>0</v>
      </c>
      <c r="M24" s="71">
        <f>'[1]Топливо'!K11</f>
        <v>0</v>
      </c>
      <c r="N24" s="17"/>
      <c r="O24" s="17"/>
      <c r="P24" s="17"/>
      <c r="Q24" s="17" t="e">
        <f>'[1]Топливо'!Q11</f>
        <v>#REF!</v>
      </c>
    </row>
    <row r="25" spans="3:17" ht="15">
      <c r="C25" s="4"/>
      <c r="D25" s="14" t="s">
        <v>38</v>
      </c>
      <c r="E25" s="27" t="s">
        <v>39</v>
      </c>
      <c r="F25" s="18" t="str">
        <f>IF(izm_type&lt;&gt;"руб.,Гкал","тыс.","")&amp;"руб."</f>
        <v>руб.</v>
      </c>
      <c r="G25" s="67">
        <f aca="true" t="shared" si="5" ref="G25:P25">G26+G29+G32+G35</f>
        <v>452247.04202999995</v>
      </c>
      <c r="H25" s="67">
        <f t="shared" si="5"/>
        <v>741336.322728</v>
      </c>
      <c r="I25" s="67">
        <f t="shared" si="5"/>
        <v>363536.83080850466</v>
      </c>
      <c r="J25" s="67">
        <f t="shared" si="5"/>
        <v>25055.910124568403</v>
      </c>
      <c r="K25" s="67">
        <f t="shared" si="5"/>
        <v>287664.6596652</v>
      </c>
      <c r="L25" s="89">
        <f t="shared" si="5"/>
        <v>672711.945975</v>
      </c>
      <c r="M25" s="67">
        <f t="shared" si="5"/>
        <v>942587.87</v>
      </c>
      <c r="N25" s="67">
        <f t="shared" si="5"/>
        <v>791596.0506015172</v>
      </c>
      <c r="O25" s="67">
        <f t="shared" si="5"/>
        <v>482855.0572334571</v>
      </c>
      <c r="P25" s="67">
        <f t="shared" si="5"/>
        <v>308740.9933680601</v>
      </c>
      <c r="Q25" s="111">
        <f>Q26+Q29+Q32+Q35</f>
        <v>988175.4285280001</v>
      </c>
    </row>
    <row r="26" spans="3:17" ht="15" hidden="1">
      <c r="C26" s="4"/>
      <c r="D26" s="122" t="s">
        <v>40</v>
      </c>
      <c r="E26" s="20" t="s">
        <v>41</v>
      </c>
      <c r="F26" s="18" t="str">
        <f>IF(izm_type&lt;&gt;"руб.,Гкал","тыс.","")&amp;"руб."</f>
        <v>руб.</v>
      </c>
      <c r="G26" s="28">
        <f aca="true" t="shared" si="6" ref="G26:P26">G27*G28</f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90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112">
        <f>Q27*Q28</f>
        <v>0</v>
      </c>
    </row>
    <row r="27" spans="3:17" ht="15" hidden="1">
      <c r="C27" s="4"/>
      <c r="D27" s="123"/>
      <c r="E27" s="29" t="s">
        <v>42</v>
      </c>
      <c r="F27" s="18" t="str">
        <f>IF(izm_type&lt;&gt;"руб.,Гкал","тыс.","")&amp;"кВт*ч"</f>
        <v>кВт*ч</v>
      </c>
      <c r="G27" s="19"/>
      <c r="H27" s="19"/>
      <c r="I27" s="19"/>
      <c r="J27" s="19"/>
      <c r="K27" s="19"/>
      <c r="L27" s="87"/>
      <c r="M27" s="65"/>
      <c r="N27" s="19"/>
      <c r="O27" s="19"/>
      <c r="P27" s="19"/>
      <c r="Q27" s="110"/>
    </row>
    <row r="28" spans="3:17" ht="15" hidden="1">
      <c r="C28" s="4"/>
      <c r="D28" s="124"/>
      <c r="E28" s="30" t="s">
        <v>43</v>
      </c>
      <c r="F28" s="31" t="s">
        <v>44</v>
      </c>
      <c r="G28" s="19"/>
      <c r="H28" s="19"/>
      <c r="I28" s="19"/>
      <c r="J28" s="19"/>
      <c r="K28" s="19"/>
      <c r="L28" s="87"/>
      <c r="M28" s="65"/>
      <c r="N28" s="19"/>
      <c r="O28" s="19"/>
      <c r="P28" s="19"/>
      <c r="Q28" s="110"/>
    </row>
    <row r="29" spans="3:17" ht="15" hidden="1">
      <c r="C29" s="4"/>
      <c r="D29" s="122" t="s">
        <v>45</v>
      </c>
      <c r="E29" s="20" t="s">
        <v>46</v>
      </c>
      <c r="F29" s="18" t="str">
        <f>IF(izm_type&lt;&gt;"руб.,Гкал","тыс.","")&amp;"руб."</f>
        <v>руб.</v>
      </c>
      <c r="G29" s="28">
        <f aca="true" t="shared" si="7" ref="G29:P29">G30*G31</f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90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8">
        <f t="shared" si="7"/>
        <v>0</v>
      </c>
      <c r="Q29" s="112">
        <f>Q30*Q31</f>
        <v>0</v>
      </c>
    </row>
    <row r="30" spans="3:17" ht="15" hidden="1">
      <c r="C30" s="4"/>
      <c r="D30" s="123"/>
      <c r="E30" s="29" t="s">
        <v>42</v>
      </c>
      <c r="F30" s="18" t="str">
        <f>IF(izm_type&lt;&gt;"руб.,Гкал","тыс.","")&amp;"кВт*ч"</f>
        <v>кВт*ч</v>
      </c>
      <c r="G30" s="19"/>
      <c r="H30" s="19"/>
      <c r="I30" s="19"/>
      <c r="J30" s="19"/>
      <c r="K30" s="19"/>
      <c r="L30" s="87"/>
      <c r="M30" s="65"/>
      <c r="N30" s="19"/>
      <c r="O30" s="19"/>
      <c r="P30" s="19"/>
      <c r="Q30" s="110"/>
    </row>
    <row r="31" spans="3:17" ht="15" hidden="1">
      <c r="C31" s="4"/>
      <c r="D31" s="124"/>
      <c r="E31" s="30" t="s">
        <v>43</v>
      </c>
      <c r="F31" s="31" t="s">
        <v>44</v>
      </c>
      <c r="G31" s="19"/>
      <c r="H31" s="19"/>
      <c r="I31" s="19"/>
      <c r="J31" s="19"/>
      <c r="K31" s="19"/>
      <c r="L31" s="87"/>
      <c r="M31" s="65"/>
      <c r="N31" s="19"/>
      <c r="O31" s="19"/>
      <c r="P31" s="19"/>
      <c r="Q31" s="110"/>
    </row>
    <row r="32" spans="3:17" ht="15">
      <c r="C32" s="4"/>
      <c r="D32" s="122" t="s">
        <v>47</v>
      </c>
      <c r="E32" s="20" t="s">
        <v>48</v>
      </c>
      <c r="F32" s="18" t="str">
        <f>IF(izm_type&lt;&gt;"руб.,Гкал","тыс.","")&amp;"руб."</f>
        <v>руб.</v>
      </c>
      <c r="G32" s="28">
        <f aca="true" t="shared" si="8" ref="G32:L32">G33*G34</f>
        <v>452247.04202999995</v>
      </c>
      <c r="H32" s="28">
        <f t="shared" si="8"/>
        <v>741336.322728</v>
      </c>
      <c r="I32" s="28">
        <f t="shared" si="8"/>
        <v>363536.83080850466</v>
      </c>
      <c r="J32" s="28">
        <f t="shared" si="8"/>
        <v>25055.910124568403</v>
      </c>
      <c r="K32" s="28">
        <f t="shared" si="8"/>
        <v>287664.6596652</v>
      </c>
      <c r="L32" s="90">
        <f t="shared" si="8"/>
        <v>672711.945975</v>
      </c>
      <c r="M32" s="28">
        <v>942587.87</v>
      </c>
      <c r="N32" s="28">
        <f>O32+P32</f>
        <v>791596.0506015172</v>
      </c>
      <c r="O32" s="28">
        <f>O33*O34</f>
        <v>482855.0572334571</v>
      </c>
      <c r="P32" s="28">
        <f>P33*P34</f>
        <v>308740.9933680601</v>
      </c>
      <c r="Q32" s="112">
        <f>Q33*Q34</f>
        <v>988175.4285280001</v>
      </c>
    </row>
    <row r="33" spans="3:17" ht="15">
      <c r="C33" s="4"/>
      <c r="D33" s="123"/>
      <c r="E33" s="29" t="s">
        <v>42</v>
      </c>
      <c r="F33" s="18" t="str">
        <f>IF(izm_type&lt;&gt;"руб.,Гкал","тыс.","")&amp;"кВт*ч"</f>
        <v>кВт*ч</v>
      </c>
      <c r="G33" s="19">
        <v>136360</v>
      </c>
      <c r="H33" s="65">
        <v>227501.48</v>
      </c>
      <c r="I33" s="19">
        <v>124386.24</v>
      </c>
      <c r="J33" s="19">
        <v>7781.08</v>
      </c>
      <c r="K33" s="19">
        <v>88581.16</v>
      </c>
      <c r="L33" s="87">
        <v>219700.5</v>
      </c>
      <c r="M33" s="65">
        <v>243468</v>
      </c>
      <c r="N33" s="19">
        <v>234336.29758051084</v>
      </c>
      <c r="O33" s="19">
        <v>148686.53358874973</v>
      </c>
      <c r="P33" s="19">
        <v>85649.7639917611</v>
      </c>
      <c r="Q33" s="110">
        <v>227501.48</v>
      </c>
    </row>
    <row r="34" spans="3:17" ht="15">
      <c r="C34" s="4"/>
      <c r="D34" s="124"/>
      <c r="E34" s="30" t="s">
        <v>43</v>
      </c>
      <c r="F34" s="31" t="s">
        <v>44</v>
      </c>
      <c r="G34" s="19">
        <v>3.31656675</v>
      </c>
      <c r="H34" s="19">
        <v>3.2586</v>
      </c>
      <c r="I34" s="19">
        <v>2.9226450675613687</v>
      </c>
      <c r="J34" s="19">
        <v>3.22010699344672</v>
      </c>
      <c r="K34" s="19">
        <v>3.24747</v>
      </c>
      <c r="L34" s="87">
        <v>3.06195</v>
      </c>
      <c r="M34" s="65">
        <v>3.871506193832454</v>
      </c>
      <c r="N34" s="19">
        <v>3.378034298461803</v>
      </c>
      <c r="O34" s="19">
        <v>3.24747</v>
      </c>
      <c r="P34" s="19">
        <v>3.6046917</v>
      </c>
      <c r="Q34" s="110">
        <v>4.3436</v>
      </c>
    </row>
    <row r="35" spans="3:17" ht="15" hidden="1">
      <c r="C35" s="4"/>
      <c r="D35" s="122" t="s">
        <v>49</v>
      </c>
      <c r="E35" s="20" t="s">
        <v>50</v>
      </c>
      <c r="F35" s="18" t="str">
        <f>IF(izm_type&lt;&gt;"руб.,Гкал","тыс.","")&amp;"руб."</f>
        <v>руб.</v>
      </c>
      <c r="G35" s="28">
        <f aca="true" t="shared" si="9" ref="G35:P35">G36*G37</f>
        <v>0</v>
      </c>
      <c r="H35" s="28">
        <f t="shared" si="9"/>
        <v>0</v>
      </c>
      <c r="I35" s="28">
        <f t="shared" si="9"/>
        <v>0</v>
      </c>
      <c r="J35" s="28">
        <f t="shared" si="9"/>
        <v>0</v>
      </c>
      <c r="K35" s="28">
        <f t="shared" si="9"/>
        <v>0</v>
      </c>
      <c r="L35" s="90">
        <f t="shared" si="9"/>
        <v>0</v>
      </c>
      <c r="M35" s="28">
        <f t="shared" si="9"/>
        <v>0</v>
      </c>
      <c r="N35" s="28">
        <f t="shared" si="9"/>
        <v>0</v>
      </c>
      <c r="O35" s="28">
        <f t="shared" si="9"/>
        <v>0</v>
      </c>
      <c r="P35" s="28">
        <f t="shared" si="9"/>
        <v>0</v>
      </c>
      <c r="Q35" s="28">
        <f>Q36*Q37</f>
        <v>0</v>
      </c>
    </row>
    <row r="36" spans="3:17" ht="15" hidden="1">
      <c r="C36" s="4"/>
      <c r="D36" s="123"/>
      <c r="E36" s="29" t="s">
        <v>42</v>
      </c>
      <c r="F36" s="18" t="str">
        <f>IF(izm_type&lt;&gt;"руб.,Гкал","тыс.","")&amp;"кВт*ч"</f>
        <v>кВт*ч</v>
      </c>
      <c r="G36" s="19"/>
      <c r="H36" s="19"/>
      <c r="I36" s="19"/>
      <c r="J36" s="19"/>
      <c r="K36" s="19"/>
      <c r="L36" s="87"/>
      <c r="M36" s="65"/>
      <c r="N36" s="19"/>
      <c r="O36" s="19"/>
      <c r="P36" s="19"/>
      <c r="Q36" s="19"/>
    </row>
    <row r="37" spans="3:17" ht="15" hidden="1">
      <c r="C37" s="4"/>
      <c r="D37" s="124"/>
      <c r="E37" s="30" t="s">
        <v>43</v>
      </c>
      <c r="F37" s="31" t="s">
        <v>44</v>
      </c>
      <c r="G37" s="19"/>
      <c r="H37" s="19"/>
      <c r="I37" s="19"/>
      <c r="J37" s="19"/>
      <c r="K37" s="19"/>
      <c r="L37" s="87"/>
      <c r="M37" s="65"/>
      <c r="N37" s="19"/>
      <c r="O37" s="19"/>
      <c r="P37" s="19"/>
      <c r="Q37" s="19"/>
    </row>
    <row r="38" spans="3:17" ht="15">
      <c r="C38" s="4"/>
      <c r="D38" s="14" t="s">
        <v>51</v>
      </c>
      <c r="E38" s="32" t="s">
        <v>52</v>
      </c>
      <c r="F38" s="18" t="str">
        <f>IF(izm_type&lt;&gt;"руб.,Гкал","тыс.","")&amp;"руб."</f>
        <v>руб.</v>
      </c>
      <c r="G38" s="28"/>
      <c r="H38" s="28"/>
      <c r="I38" s="28"/>
      <c r="J38" s="28"/>
      <c r="K38" s="28"/>
      <c r="L38" s="90"/>
      <c r="M38" s="28"/>
      <c r="N38" s="28"/>
      <c r="O38" s="28"/>
      <c r="P38" s="28"/>
      <c r="Q38" s="28"/>
    </row>
    <row r="39" spans="3:17" ht="15" hidden="1">
      <c r="C39" s="4"/>
      <c r="D39" s="122" t="s">
        <v>53</v>
      </c>
      <c r="E39" s="33" t="s">
        <v>41</v>
      </c>
      <c r="F39" s="18" t="str">
        <f>IF(izm_type&lt;&gt;"руб.,Гкал","тыс.","")&amp;"руб."</f>
        <v>руб.</v>
      </c>
      <c r="G39" s="28">
        <f aca="true" t="shared" si="10" ref="G39:P39">G40*G41*12/IF(izm_type&lt;&gt;"руб.,Гкал",1000,1)</f>
        <v>0</v>
      </c>
      <c r="H39" s="28">
        <f t="shared" si="10"/>
        <v>0</v>
      </c>
      <c r="I39" s="28">
        <f t="shared" si="10"/>
        <v>0</v>
      </c>
      <c r="J39" s="28">
        <f t="shared" si="10"/>
        <v>0</v>
      </c>
      <c r="K39" s="28">
        <f t="shared" si="10"/>
        <v>0</v>
      </c>
      <c r="L39" s="90">
        <f t="shared" si="10"/>
        <v>0</v>
      </c>
      <c r="M39" s="28">
        <f t="shared" si="10"/>
        <v>0</v>
      </c>
      <c r="N39" s="28">
        <f t="shared" si="10"/>
        <v>0</v>
      </c>
      <c r="O39" s="28">
        <f t="shared" si="10"/>
        <v>0</v>
      </c>
      <c r="P39" s="28">
        <f t="shared" si="10"/>
        <v>0</v>
      </c>
      <c r="Q39" s="28">
        <f>Q40*Q41*12/IF(izm_type&lt;&gt;"руб.,Гкал",1000,1)</f>
        <v>0</v>
      </c>
    </row>
    <row r="40" spans="3:17" ht="15" hidden="1">
      <c r="C40" s="4"/>
      <c r="D40" s="123"/>
      <c r="E40" s="29" t="s">
        <v>54</v>
      </c>
      <c r="F40" s="31" t="s">
        <v>55</v>
      </c>
      <c r="G40" s="19"/>
      <c r="H40" s="19"/>
      <c r="I40" s="19"/>
      <c r="J40" s="19"/>
      <c r="K40" s="19"/>
      <c r="L40" s="87"/>
      <c r="M40" s="65"/>
      <c r="N40" s="19"/>
      <c r="O40" s="19"/>
      <c r="P40" s="19"/>
      <c r="Q40" s="19"/>
    </row>
    <row r="41" spans="3:17" ht="15" hidden="1">
      <c r="C41" s="4"/>
      <c r="D41" s="124"/>
      <c r="E41" s="30" t="s">
        <v>43</v>
      </c>
      <c r="F41" s="31" t="s">
        <v>56</v>
      </c>
      <c r="G41" s="19"/>
      <c r="H41" s="19"/>
      <c r="I41" s="19"/>
      <c r="J41" s="19"/>
      <c r="K41" s="19"/>
      <c r="L41" s="87"/>
      <c r="M41" s="65"/>
      <c r="N41" s="19"/>
      <c r="O41" s="19"/>
      <c r="P41" s="19"/>
      <c r="Q41" s="19"/>
    </row>
    <row r="42" spans="3:17" ht="15" hidden="1">
      <c r="C42" s="4"/>
      <c r="D42" s="122" t="s">
        <v>57</v>
      </c>
      <c r="E42" s="33" t="s">
        <v>46</v>
      </c>
      <c r="F42" s="18" t="str">
        <f>IF(izm_type&lt;&gt;"руб.,Гкал","тыс.","")&amp;"руб."</f>
        <v>руб.</v>
      </c>
      <c r="G42" s="28">
        <f aca="true" t="shared" si="11" ref="G42:P42">G43*G44*12/IF(izm_type&lt;&gt;"руб.,Гкал",1000,1)</f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  <c r="L42" s="90">
        <f t="shared" si="11"/>
        <v>0</v>
      </c>
      <c r="M42" s="28">
        <f t="shared" si="11"/>
        <v>0</v>
      </c>
      <c r="N42" s="28">
        <f t="shared" si="11"/>
        <v>0</v>
      </c>
      <c r="O42" s="28">
        <f t="shared" si="11"/>
        <v>0</v>
      </c>
      <c r="P42" s="28">
        <f t="shared" si="11"/>
        <v>0</v>
      </c>
      <c r="Q42" s="28">
        <f>Q43*Q44*12/IF(izm_type&lt;&gt;"руб.,Гкал",1000,1)</f>
        <v>0</v>
      </c>
    </row>
    <row r="43" spans="3:17" ht="15" hidden="1">
      <c r="C43" s="4"/>
      <c r="D43" s="123"/>
      <c r="E43" s="29" t="s">
        <v>54</v>
      </c>
      <c r="F43" s="31" t="s">
        <v>55</v>
      </c>
      <c r="G43" s="19"/>
      <c r="H43" s="19"/>
      <c r="I43" s="19"/>
      <c r="J43" s="19"/>
      <c r="K43" s="19"/>
      <c r="L43" s="87"/>
      <c r="M43" s="65"/>
      <c r="N43" s="19"/>
      <c r="O43" s="19"/>
      <c r="P43" s="19"/>
      <c r="Q43" s="19"/>
    </row>
    <row r="44" spans="3:17" ht="15" hidden="1">
      <c r="C44" s="4"/>
      <c r="D44" s="124"/>
      <c r="E44" s="30" t="s">
        <v>43</v>
      </c>
      <c r="F44" s="31" t="s">
        <v>56</v>
      </c>
      <c r="G44" s="19"/>
      <c r="H44" s="19"/>
      <c r="I44" s="19"/>
      <c r="J44" s="19"/>
      <c r="K44" s="19"/>
      <c r="L44" s="87"/>
      <c r="M44" s="65"/>
      <c r="N44" s="19"/>
      <c r="O44" s="19"/>
      <c r="P44" s="19"/>
      <c r="Q44" s="19"/>
    </row>
    <row r="45" spans="3:17" ht="15" hidden="1">
      <c r="C45" s="4"/>
      <c r="D45" s="122" t="s">
        <v>58</v>
      </c>
      <c r="E45" s="33" t="s">
        <v>48</v>
      </c>
      <c r="F45" s="18" t="str">
        <f>IF(izm_type&lt;&gt;"руб.,Гкал","тыс.","")&amp;"руб."</f>
        <v>руб.</v>
      </c>
      <c r="G45" s="28">
        <f aca="true" t="shared" si="12" ref="G45:P45">G46*G47*12/IF(izm_type&lt;&gt;"руб.,Гкал",1000,1)</f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8">
        <f t="shared" si="12"/>
        <v>0</v>
      </c>
      <c r="L45" s="90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8">
        <f t="shared" si="12"/>
        <v>0</v>
      </c>
      <c r="Q45" s="28">
        <f>Q46*Q47*12/IF(izm_type&lt;&gt;"руб.,Гкал",1000,1)</f>
        <v>0</v>
      </c>
    </row>
    <row r="46" spans="3:17" ht="15" hidden="1">
      <c r="C46" s="4"/>
      <c r="D46" s="123"/>
      <c r="E46" s="29" t="s">
        <v>54</v>
      </c>
      <c r="F46" s="31" t="s">
        <v>55</v>
      </c>
      <c r="G46" s="19"/>
      <c r="H46" s="19"/>
      <c r="I46" s="19"/>
      <c r="J46" s="19"/>
      <c r="K46" s="19"/>
      <c r="L46" s="87"/>
      <c r="M46" s="65"/>
      <c r="N46" s="19"/>
      <c r="O46" s="19"/>
      <c r="P46" s="19"/>
      <c r="Q46" s="19"/>
    </row>
    <row r="47" spans="3:17" ht="15" hidden="1">
      <c r="C47" s="4"/>
      <c r="D47" s="124"/>
      <c r="E47" s="30" t="s">
        <v>43</v>
      </c>
      <c r="F47" s="31" t="s">
        <v>56</v>
      </c>
      <c r="G47" s="19"/>
      <c r="H47" s="19"/>
      <c r="I47" s="19"/>
      <c r="J47" s="19"/>
      <c r="K47" s="19"/>
      <c r="L47" s="87"/>
      <c r="M47" s="65"/>
      <c r="N47" s="19"/>
      <c r="O47" s="19"/>
      <c r="P47" s="19"/>
      <c r="Q47" s="19"/>
    </row>
    <row r="48" spans="3:17" ht="15" hidden="1">
      <c r="C48" s="4"/>
      <c r="D48" s="122" t="s">
        <v>59</v>
      </c>
      <c r="E48" s="33" t="s">
        <v>50</v>
      </c>
      <c r="F48" s="18" t="str">
        <f>IF(izm_type&lt;&gt;"руб.,Гкал","тыс.","")&amp;"руб."</f>
        <v>руб.</v>
      </c>
      <c r="G48" s="28">
        <f aca="true" t="shared" si="13" ref="G48:P48">G49*G50*12/IF(izm_type&lt;&gt;"руб.,Гкал",1000,1)</f>
        <v>0</v>
      </c>
      <c r="H48" s="28">
        <f t="shared" si="13"/>
        <v>0</v>
      </c>
      <c r="I48" s="28">
        <f t="shared" si="13"/>
        <v>0</v>
      </c>
      <c r="J48" s="28">
        <f t="shared" si="13"/>
        <v>0</v>
      </c>
      <c r="K48" s="28">
        <f t="shared" si="13"/>
        <v>0</v>
      </c>
      <c r="L48" s="90">
        <f t="shared" si="13"/>
        <v>0</v>
      </c>
      <c r="M48" s="28">
        <f t="shared" si="13"/>
        <v>0</v>
      </c>
      <c r="N48" s="28">
        <f t="shared" si="13"/>
        <v>0</v>
      </c>
      <c r="O48" s="28">
        <f t="shared" si="13"/>
        <v>0</v>
      </c>
      <c r="P48" s="28">
        <f t="shared" si="13"/>
        <v>0</v>
      </c>
      <c r="Q48" s="28">
        <f>Q49*Q50*12/IF(izm_type&lt;&gt;"руб.,Гкал",1000,1)</f>
        <v>0</v>
      </c>
    </row>
    <row r="49" spans="3:17" ht="15" hidden="1">
      <c r="C49" s="4"/>
      <c r="D49" s="123"/>
      <c r="E49" s="29" t="s">
        <v>54</v>
      </c>
      <c r="F49" s="31" t="s">
        <v>55</v>
      </c>
      <c r="G49" s="19"/>
      <c r="H49" s="19"/>
      <c r="I49" s="19"/>
      <c r="J49" s="19"/>
      <c r="K49" s="19"/>
      <c r="L49" s="87"/>
      <c r="M49" s="65"/>
      <c r="N49" s="19"/>
      <c r="O49" s="19"/>
      <c r="P49" s="19"/>
      <c r="Q49" s="19"/>
    </row>
    <row r="50" spans="3:17" ht="15" hidden="1">
      <c r="C50" s="4"/>
      <c r="D50" s="124"/>
      <c r="E50" s="30" t="s">
        <v>43</v>
      </c>
      <c r="F50" s="31" t="s">
        <v>56</v>
      </c>
      <c r="G50" s="19"/>
      <c r="H50" s="19"/>
      <c r="I50" s="19"/>
      <c r="J50" s="19"/>
      <c r="K50" s="19"/>
      <c r="L50" s="87"/>
      <c r="M50" s="65"/>
      <c r="N50" s="19"/>
      <c r="O50" s="19"/>
      <c r="P50" s="19"/>
      <c r="Q50" s="19"/>
    </row>
    <row r="51" spans="3:17" ht="15" hidden="1">
      <c r="C51" s="4"/>
      <c r="D51" s="14" t="s">
        <v>60</v>
      </c>
      <c r="E51" s="15" t="s">
        <v>61</v>
      </c>
      <c r="F51" s="18" t="str">
        <f>IF(izm_type&lt;&gt;"руб.,Гкал","тыс.","")&amp;"руб."</f>
        <v>руб.</v>
      </c>
      <c r="G51" s="28">
        <f aca="true" t="shared" si="14" ref="G51:P51">G52+G55</f>
        <v>0</v>
      </c>
      <c r="H51" s="28">
        <f t="shared" si="14"/>
        <v>0</v>
      </c>
      <c r="I51" s="28">
        <f t="shared" si="14"/>
        <v>0</v>
      </c>
      <c r="J51" s="28">
        <f t="shared" si="14"/>
        <v>0</v>
      </c>
      <c r="K51" s="28">
        <f t="shared" si="14"/>
        <v>0</v>
      </c>
      <c r="L51" s="90">
        <f t="shared" si="14"/>
        <v>0</v>
      </c>
      <c r="M51" s="28">
        <f t="shared" si="14"/>
        <v>0</v>
      </c>
      <c r="N51" s="28">
        <f t="shared" si="14"/>
        <v>0</v>
      </c>
      <c r="O51" s="28">
        <f t="shared" si="14"/>
        <v>0</v>
      </c>
      <c r="P51" s="28">
        <f t="shared" si="14"/>
        <v>0</v>
      </c>
      <c r="Q51" s="28">
        <f>Q52+Q55</f>
        <v>0</v>
      </c>
    </row>
    <row r="52" spans="3:17" ht="15" hidden="1">
      <c r="C52" s="4"/>
      <c r="D52" s="122" t="s">
        <v>62</v>
      </c>
      <c r="E52" s="20" t="s">
        <v>63</v>
      </c>
      <c r="F52" s="18" t="str">
        <f>IF(izm_type&lt;&gt;"руб.,Гкал","тыс.","")&amp;"руб."</f>
        <v>руб.</v>
      </c>
      <c r="G52" s="17">
        <f aca="true" t="shared" si="15" ref="G52:P52">G53*G54</f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86">
        <f t="shared" si="15"/>
        <v>0</v>
      </c>
      <c r="M52" s="71">
        <f t="shared" si="15"/>
        <v>0</v>
      </c>
      <c r="N52" s="17">
        <f t="shared" si="15"/>
        <v>0</v>
      </c>
      <c r="O52" s="17">
        <f t="shared" si="15"/>
        <v>0</v>
      </c>
      <c r="P52" s="17">
        <f t="shared" si="15"/>
        <v>0</v>
      </c>
      <c r="Q52" s="17">
        <f>Q53*Q54</f>
        <v>0</v>
      </c>
    </row>
    <row r="53" spans="3:17" ht="15" hidden="1">
      <c r="C53" s="4"/>
      <c r="D53" s="129"/>
      <c r="E53" s="22" t="s">
        <v>42</v>
      </c>
      <c r="F53" s="18" t="str">
        <f>IF(izm_type&lt;&gt;"руб.,Гкал","тыс.","")&amp;"куб.м."</f>
        <v>куб.м.</v>
      </c>
      <c r="G53" s="19"/>
      <c r="H53" s="19"/>
      <c r="I53" s="19"/>
      <c r="J53" s="19"/>
      <c r="K53" s="19"/>
      <c r="L53" s="87"/>
      <c r="M53" s="65"/>
      <c r="N53" s="19"/>
      <c r="O53" s="19"/>
      <c r="P53" s="19"/>
      <c r="Q53" s="19"/>
    </row>
    <row r="54" spans="3:17" ht="15" hidden="1">
      <c r="C54" s="4"/>
      <c r="D54" s="130"/>
      <c r="E54" s="22" t="s">
        <v>43</v>
      </c>
      <c r="F54" s="16" t="s">
        <v>64</v>
      </c>
      <c r="G54" s="19"/>
      <c r="H54" s="19"/>
      <c r="I54" s="19"/>
      <c r="J54" s="19"/>
      <c r="K54" s="19"/>
      <c r="L54" s="87"/>
      <c r="M54" s="65"/>
      <c r="N54" s="19"/>
      <c r="O54" s="19"/>
      <c r="P54" s="19"/>
      <c r="Q54" s="19"/>
    </row>
    <row r="55" spans="3:17" ht="15" hidden="1">
      <c r="C55" s="4"/>
      <c r="D55" s="122" t="s">
        <v>65</v>
      </c>
      <c r="E55" s="20" t="s">
        <v>66</v>
      </c>
      <c r="F55" s="18" t="str">
        <f>IF(izm_type&lt;&gt;"руб.,Гкал","тыс.","")&amp;"руб."</f>
        <v>руб.</v>
      </c>
      <c r="G55" s="17">
        <f aca="true" t="shared" si="16" ref="G55:P55">G56*G57</f>
        <v>0</v>
      </c>
      <c r="H55" s="17">
        <f t="shared" si="16"/>
        <v>0</v>
      </c>
      <c r="I55" s="17">
        <f t="shared" si="16"/>
        <v>0</v>
      </c>
      <c r="J55" s="17">
        <f t="shared" si="16"/>
        <v>0</v>
      </c>
      <c r="K55" s="17">
        <f t="shared" si="16"/>
        <v>0</v>
      </c>
      <c r="L55" s="86">
        <f t="shared" si="16"/>
        <v>0</v>
      </c>
      <c r="M55" s="71">
        <f t="shared" si="16"/>
        <v>0</v>
      </c>
      <c r="N55" s="17">
        <f t="shared" si="16"/>
        <v>0</v>
      </c>
      <c r="O55" s="17">
        <f t="shared" si="16"/>
        <v>0</v>
      </c>
      <c r="P55" s="17">
        <f t="shared" si="16"/>
        <v>0</v>
      </c>
      <c r="Q55" s="17">
        <f>Q56*Q57</f>
        <v>0</v>
      </c>
    </row>
    <row r="56" spans="3:17" ht="15" hidden="1">
      <c r="C56" s="4"/>
      <c r="D56" s="129"/>
      <c r="E56" s="22" t="s">
        <v>42</v>
      </c>
      <c r="F56" s="16" t="s">
        <v>67</v>
      </c>
      <c r="G56" s="19"/>
      <c r="H56" s="19"/>
      <c r="I56" s="19"/>
      <c r="J56" s="19"/>
      <c r="K56" s="19"/>
      <c r="L56" s="87"/>
      <c r="M56" s="65"/>
      <c r="N56" s="19"/>
      <c r="O56" s="19"/>
      <c r="P56" s="19"/>
      <c r="Q56" s="19"/>
    </row>
    <row r="57" spans="3:17" ht="15" hidden="1">
      <c r="C57" s="4"/>
      <c r="D57" s="130"/>
      <c r="E57" s="22" t="s">
        <v>43</v>
      </c>
      <c r="F57" s="16" t="s">
        <v>64</v>
      </c>
      <c r="G57" s="19"/>
      <c r="H57" s="19"/>
      <c r="I57" s="19"/>
      <c r="J57" s="19"/>
      <c r="K57" s="19"/>
      <c r="L57" s="87"/>
      <c r="M57" s="65"/>
      <c r="N57" s="19"/>
      <c r="O57" s="19"/>
      <c r="P57" s="19"/>
      <c r="Q57" s="19"/>
    </row>
    <row r="58" spans="3:17" ht="15">
      <c r="C58" s="4"/>
      <c r="D58" s="122" t="s">
        <v>68</v>
      </c>
      <c r="E58" s="27" t="s">
        <v>69</v>
      </c>
      <c r="F58" s="18" t="str">
        <f>IF(izm_type&lt;&gt;"руб.,Гкал","тыс.","")&amp;"руб."</f>
        <v>руб.</v>
      </c>
      <c r="G58" s="12">
        <f aca="true" t="shared" si="17" ref="G58:L58">G59*G60</f>
        <v>14871421.6</v>
      </c>
      <c r="H58" s="12">
        <f t="shared" si="17"/>
        <v>14287176.273999996</v>
      </c>
      <c r="I58" s="12">
        <f t="shared" si="17"/>
        <v>9042224.437779998</v>
      </c>
      <c r="J58" s="12">
        <f t="shared" si="17"/>
        <v>178323.75208</v>
      </c>
      <c r="K58" s="12">
        <f t="shared" si="17"/>
        <v>5369823.175850001</v>
      </c>
      <c r="L58" s="85">
        <f t="shared" si="17"/>
        <v>14334116.179990418</v>
      </c>
      <c r="M58" s="72">
        <v>16298907.12</v>
      </c>
      <c r="N58" s="12">
        <f>O58+P58</f>
        <v>16063241.442650883</v>
      </c>
      <c r="O58" s="12">
        <f>O59*O60</f>
        <v>9902586.067539174</v>
      </c>
      <c r="P58" s="12">
        <f>P59*P60</f>
        <v>6160655.375111708</v>
      </c>
      <c r="Q58" s="113">
        <f>Q59*Q60</f>
        <v>16544893.80144</v>
      </c>
    </row>
    <row r="59" spans="3:17" ht="15">
      <c r="C59" s="4"/>
      <c r="D59" s="129"/>
      <c r="E59" s="20" t="s">
        <v>42</v>
      </c>
      <c r="F59" s="18" t="str">
        <f>IF(izm_type&lt;&gt;"руб.,Гкал","тыс.","")&amp;"Гкал"</f>
        <v>Гкал</v>
      </c>
      <c r="G59" s="19">
        <v>13636</v>
      </c>
      <c r="H59" s="19">
        <v>13100.290000000003</v>
      </c>
      <c r="I59" s="19">
        <v>8470.273999999998</v>
      </c>
      <c r="J59" s="19">
        <v>161.071</v>
      </c>
      <c r="K59" s="19">
        <v>4729.492</v>
      </c>
      <c r="L59" s="95">
        <v>13135.125</v>
      </c>
      <c r="M59" s="65">
        <v>13746</v>
      </c>
      <c r="N59" s="19">
        <v>13745.832999999999</v>
      </c>
      <c r="O59" s="19">
        <v>8721.74</v>
      </c>
      <c r="P59" s="19">
        <v>5024.093</v>
      </c>
      <c r="Q59" s="110">
        <v>13157.601</v>
      </c>
    </row>
    <row r="60" spans="3:17" ht="15">
      <c r="C60" s="4"/>
      <c r="D60" s="130"/>
      <c r="E60" s="20" t="s">
        <v>43</v>
      </c>
      <c r="F60" s="16" t="s">
        <v>70</v>
      </c>
      <c r="G60" s="19">
        <v>1090.6</v>
      </c>
      <c r="H60" s="19">
        <v>1090.5999999999995</v>
      </c>
      <c r="I60" s="19">
        <v>1067.5244316512076</v>
      </c>
      <c r="J60" s="19">
        <v>1107.1127147655382</v>
      </c>
      <c r="K60" s="19">
        <v>1135.3911108952084</v>
      </c>
      <c r="L60" s="87">
        <v>1091.281291955</v>
      </c>
      <c r="M60" s="65">
        <v>1185.72</v>
      </c>
      <c r="N60" s="19">
        <v>1168.5898877609588</v>
      </c>
      <c r="O60" s="19">
        <v>1135.3911108952084</v>
      </c>
      <c r="P60" s="19">
        <v>1226.2223997668252</v>
      </c>
      <c r="Q60" s="110">
        <v>1257.44</v>
      </c>
    </row>
    <row r="61" spans="1:17" s="36" customFormat="1" ht="15" hidden="1">
      <c r="A61" s="34"/>
      <c r="B61" s="34"/>
      <c r="C61" s="35"/>
      <c r="D61" s="122" t="s">
        <v>71</v>
      </c>
      <c r="E61" s="32" t="s">
        <v>72</v>
      </c>
      <c r="F61" s="18" t="str">
        <f>IF(izm_type&lt;&gt;"руб.,Гкал","тыс.","")&amp;"руб."</f>
        <v>руб.</v>
      </c>
      <c r="G61" s="17">
        <f aca="true" t="shared" si="18" ref="G61:P61">G62*G63</f>
        <v>0</v>
      </c>
      <c r="H61" s="17">
        <f t="shared" si="18"/>
        <v>0</v>
      </c>
      <c r="I61" s="17">
        <f t="shared" si="18"/>
        <v>0</v>
      </c>
      <c r="J61" s="17">
        <f t="shared" si="18"/>
        <v>0</v>
      </c>
      <c r="K61" s="17">
        <f t="shared" si="18"/>
        <v>0</v>
      </c>
      <c r="L61" s="86">
        <f t="shared" si="18"/>
        <v>0</v>
      </c>
      <c r="M61" s="71">
        <f t="shared" si="18"/>
        <v>0</v>
      </c>
      <c r="N61" s="17">
        <f t="shared" si="18"/>
        <v>0</v>
      </c>
      <c r="O61" s="17">
        <f t="shared" si="18"/>
        <v>0</v>
      </c>
      <c r="P61" s="17">
        <f t="shared" si="18"/>
        <v>0</v>
      </c>
      <c r="Q61" s="107">
        <f>Q62*Q63</f>
        <v>0</v>
      </c>
    </row>
    <row r="62" spans="1:17" s="36" customFormat="1" ht="15" hidden="1">
      <c r="A62" s="34"/>
      <c r="B62" s="34"/>
      <c r="C62" s="35"/>
      <c r="D62" s="129"/>
      <c r="E62" s="20" t="s">
        <v>42</v>
      </c>
      <c r="F62" s="18" t="str">
        <f>IF(izm_type&lt;&gt;"руб.,Гкал","тыс.","")&amp;"Гкал"</f>
        <v>Гкал</v>
      </c>
      <c r="G62" s="37"/>
      <c r="H62" s="37"/>
      <c r="I62" s="37"/>
      <c r="J62" s="37"/>
      <c r="K62" s="37"/>
      <c r="L62" s="91"/>
      <c r="M62" s="37"/>
      <c r="N62" s="37"/>
      <c r="O62" s="37"/>
      <c r="P62" s="37"/>
      <c r="Q62" s="114"/>
    </row>
    <row r="63" spans="1:17" s="36" customFormat="1" ht="15" hidden="1">
      <c r="A63" s="34"/>
      <c r="B63" s="34"/>
      <c r="C63" s="35"/>
      <c r="D63" s="130"/>
      <c r="E63" s="20" t="s">
        <v>43</v>
      </c>
      <c r="F63" s="16" t="s">
        <v>70</v>
      </c>
      <c r="G63" s="37"/>
      <c r="H63" s="37"/>
      <c r="I63" s="37"/>
      <c r="J63" s="37"/>
      <c r="K63" s="37"/>
      <c r="L63" s="91"/>
      <c r="M63" s="37"/>
      <c r="N63" s="37"/>
      <c r="O63" s="37"/>
      <c r="P63" s="37"/>
      <c r="Q63" s="114"/>
    </row>
    <row r="64" spans="1:17" s="36" customFormat="1" ht="15">
      <c r="A64" s="34"/>
      <c r="B64" s="34"/>
      <c r="C64" s="35"/>
      <c r="D64" s="122" t="s">
        <v>73</v>
      </c>
      <c r="E64" s="32" t="s">
        <v>74</v>
      </c>
      <c r="F64" s="18" t="str">
        <f>IF(izm_type&lt;&gt;"руб.,Гкал","тыс.","")&amp;"руб."</f>
        <v>руб.</v>
      </c>
      <c r="G64" s="12">
        <f aca="true" t="shared" si="19" ref="G64:M64">G65*G66</f>
        <v>16199.4</v>
      </c>
      <c r="H64" s="12">
        <f t="shared" si="19"/>
        <v>39896.446049999984</v>
      </c>
      <c r="I64" s="12">
        <f t="shared" si="19"/>
        <v>20647.437299999998</v>
      </c>
      <c r="J64" s="12">
        <f t="shared" si="19"/>
        <v>1927.12176</v>
      </c>
      <c r="K64" s="12">
        <f t="shared" si="19"/>
        <v>5947.22277</v>
      </c>
      <c r="L64" s="85">
        <f t="shared" si="19"/>
        <v>31375.85946032</v>
      </c>
      <c r="M64" s="72">
        <f t="shared" si="19"/>
        <v>20723.399999999998</v>
      </c>
      <c r="N64" s="12">
        <f>M64</f>
        <v>20723.399999999998</v>
      </c>
      <c r="O64" s="12">
        <f>O65*O66</f>
        <v>10361.699999999999</v>
      </c>
      <c r="P64" s="12">
        <f>N64-O64</f>
        <v>10361.699999999999</v>
      </c>
      <c r="Q64" s="113">
        <f>Q65*Q66</f>
        <v>47441.40380999998</v>
      </c>
    </row>
    <row r="65" spans="1:17" s="36" customFormat="1" ht="15">
      <c r="A65" s="34"/>
      <c r="B65" s="34"/>
      <c r="C65" s="35"/>
      <c r="D65" s="129"/>
      <c r="E65" s="20" t="s">
        <v>42</v>
      </c>
      <c r="F65" s="18" t="str">
        <f>IF(izm_type&lt;&gt;"руб.,Гкал","тыс.","")&amp;"куб.м."</f>
        <v>куб.м.</v>
      </c>
      <c r="G65" s="37">
        <v>580</v>
      </c>
      <c r="H65" s="37">
        <v>1240.9469999999997</v>
      </c>
      <c r="I65" s="37">
        <v>642.222</v>
      </c>
      <c r="J65" s="37">
        <v>56.547000000000004</v>
      </c>
      <c r="K65" s="37">
        <v>166.449</v>
      </c>
      <c r="L65" s="98">
        <v>945.097</v>
      </c>
      <c r="M65" s="37">
        <v>580</v>
      </c>
      <c r="N65" s="37">
        <v>580</v>
      </c>
      <c r="O65" s="37">
        <v>290</v>
      </c>
      <c r="P65" s="37">
        <v>290</v>
      </c>
      <c r="Q65" s="114">
        <v>1240.9469999999997</v>
      </c>
    </row>
    <row r="66" spans="1:17" s="36" customFormat="1" ht="15">
      <c r="A66" s="34"/>
      <c r="B66" s="34"/>
      <c r="C66" s="35"/>
      <c r="D66" s="130"/>
      <c r="E66" s="20" t="s">
        <v>43</v>
      </c>
      <c r="F66" s="16" t="s">
        <v>64</v>
      </c>
      <c r="G66" s="37">
        <v>27.93</v>
      </c>
      <c r="H66" s="37">
        <v>32.15</v>
      </c>
      <c r="I66" s="37">
        <v>32.15</v>
      </c>
      <c r="J66" s="37">
        <v>34.08</v>
      </c>
      <c r="K66" s="37">
        <v>35.73</v>
      </c>
      <c r="L66" s="91">
        <v>33.19856</v>
      </c>
      <c r="M66" s="37">
        <v>35.73</v>
      </c>
      <c r="N66" s="37">
        <v>35.73</v>
      </c>
      <c r="O66" s="37">
        <v>35.73</v>
      </c>
      <c r="P66" s="37">
        <v>35.73</v>
      </c>
      <c r="Q66" s="114">
        <v>38.23</v>
      </c>
    </row>
    <row r="67" spans="3:18" ht="15">
      <c r="C67" s="4"/>
      <c r="D67" s="14" t="s">
        <v>75</v>
      </c>
      <c r="E67" s="27" t="s">
        <v>76</v>
      </c>
      <c r="F67" s="18" t="str">
        <f>IF(izm_type&lt;&gt;"руб.,Гкал","тыс.","")&amp;"руб."</f>
        <v>руб.</v>
      </c>
      <c r="G67" s="66">
        <v>314355.33</v>
      </c>
      <c r="H67" s="66">
        <v>393443.35</v>
      </c>
      <c r="I67" s="66">
        <f>L67/12*6</f>
        <v>159851.545</v>
      </c>
      <c r="J67" s="66">
        <f>L67/12*2</f>
        <v>53283.848333333335</v>
      </c>
      <c r="K67" s="66">
        <f>L67/12*4</f>
        <v>106567.69666666667</v>
      </c>
      <c r="L67" s="92">
        <v>319703.09</v>
      </c>
      <c r="M67" s="66">
        <v>353899.18</v>
      </c>
      <c r="N67" s="66">
        <f>G67*1.071</f>
        <v>336674.55843</v>
      </c>
      <c r="O67" s="66">
        <f>N67/2</f>
        <v>168337.279215</v>
      </c>
      <c r="P67" s="66">
        <f>O67</f>
        <v>168337.279215</v>
      </c>
      <c r="Q67" s="115">
        <f>N67*1.08</f>
        <v>363608.5231044</v>
      </c>
      <c r="R67" s="1">
        <v>1.08</v>
      </c>
    </row>
    <row r="68" spans="3:17" ht="15">
      <c r="C68" s="4"/>
      <c r="D68" s="14" t="s">
        <v>77</v>
      </c>
      <c r="E68" s="27" t="s">
        <v>78</v>
      </c>
      <c r="F68" s="18" t="str">
        <f>IF(izm_type&lt;&gt;"руб.,Гкал","тыс.","")&amp;"руб."</f>
        <v>руб.</v>
      </c>
      <c r="G68" s="66">
        <v>2065441.32</v>
      </c>
      <c r="H68" s="66">
        <v>2475902.4</v>
      </c>
      <c r="I68" s="66">
        <f>L68/12*6</f>
        <v>1425125.085</v>
      </c>
      <c r="J68" s="66">
        <f>L68/12*2</f>
        <v>475041.695</v>
      </c>
      <c r="K68" s="66">
        <f>L68/12*4</f>
        <v>950083.39</v>
      </c>
      <c r="L68" s="92">
        <v>2850250.17</v>
      </c>
      <c r="M68" s="66">
        <v>2387857</v>
      </c>
      <c r="N68" s="66">
        <f>O68+P68</f>
        <v>2212087.65372</v>
      </c>
      <c r="O68" s="66">
        <f>O69*6*O70</f>
        <v>1106043.82686</v>
      </c>
      <c r="P68" s="66">
        <f>P69*6*P70</f>
        <v>1106043.82686</v>
      </c>
      <c r="Q68" s="115">
        <f>Q69*Q70*12</f>
        <v>2541547.2</v>
      </c>
    </row>
    <row r="69" spans="3:17" ht="15">
      <c r="C69" s="4"/>
      <c r="D69" s="14" t="s">
        <v>79</v>
      </c>
      <c r="E69" s="20" t="s">
        <v>80</v>
      </c>
      <c r="F69" s="18" t="str">
        <f>IF(izm_type&lt;&gt;"руб.,Гкал","тыс.","")&amp;"руб."</f>
        <v>руб.</v>
      </c>
      <c r="G69" s="17">
        <f>(G68/G70/12)</f>
        <v>36621.299999999996</v>
      </c>
      <c r="H69" s="17">
        <f>(H68/H70/12)</f>
        <v>43898.97872340425</v>
      </c>
      <c r="I69" s="17">
        <v>45982.43</v>
      </c>
      <c r="J69" s="17">
        <v>45982.43</v>
      </c>
      <c r="K69" s="17">
        <v>45982.43</v>
      </c>
      <c r="L69" s="86">
        <v>47504.17</v>
      </c>
      <c r="M69" s="71">
        <f>(M68/M70/12)</f>
        <v>42337.89007092198</v>
      </c>
      <c r="N69" s="17">
        <f>(N68/N70/12)</f>
        <v>39221.412299999996</v>
      </c>
      <c r="O69" s="17">
        <f>G69*1.071</f>
        <v>39221.412299999996</v>
      </c>
      <c r="P69" s="17">
        <f>O69</f>
        <v>39221.412299999996</v>
      </c>
      <c r="Q69" s="107">
        <v>42359.12</v>
      </c>
    </row>
    <row r="70" spans="3:17" ht="15">
      <c r="C70" s="4"/>
      <c r="D70" s="14" t="s">
        <v>81</v>
      </c>
      <c r="E70" s="20" t="s">
        <v>82</v>
      </c>
      <c r="F70" s="38" t="s">
        <v>83</v>
      </c>
      <c r="G70" s="19">
        <v>4.7</v>
      </c>
      <c r="H70" s="19">
        <v>4.7</v>
      </c>
      <c r="I70" s="19">
        <v>4.7</v>
      </c>
      <c r="J70" s="19">
        <v>4.7</v>
      </c>
      <c r="K70" s="19">
        <v>4.7</v>
      </c>
      <c r="L70" s="87">
        <v>5</v>
      </c>
      <c r="M70" s="65">
        <v>4.7</v>
      </c>
      <c r="N70" s="19">
        <v>4.7</v>
      </c>
      <c r="O70" s="19">
        <v>4.7</v>
      </c>
      <c r="P70" s="19">
        <v>4.7</v>
      </c>
      <c r="Q70" s="110">
        <v>5</v>
      </c>
    </row>
    <row r="71" spans="3:17" ht="15">
      <c r="C71" s="4"/>
      <c r="D71" s="14" t="s">
        <v>84</v>
      </c>
      <c r="E71" s="27" t="s">
        <v>85</v>
      </c>
      <c r="F71" s="18" t="str">
        <f>IF(izm_type&lt;&gt;"руб.,Гкал","тыс.","")&amp;"руб."</f>
        <v>руб.</v>
      </c>
      <c r="G71" s="66">
        <v>683041.44</v>
      </c>
      <c r="H71" s="68">
        <f>H68*0.297</f>
        <v>735343.0127999999</v>
      </c>
      <c r="I71" s="68">
        <f>I68*0.3</f>
        <v>427537.5255</v>
      </c>
      <c r="J71" s="68">
        <f>J68*0.3</f>
        <v>142512.5085</v>
      </c>
      <c r="K71" s="68">
        <f>K68*0.3</f>
        <v>285025.017</v>
      </c>
      <c r="L71" s="84">
        <v>803770.55</v>
      </c>
      <c r="M71" s="68">
        <v>723520.67</v>
      </c>
      <c r="N71" s="68">
        <f>O71+P71</f>
        <v>672917.064261624</v>
      </c>
      <c r="O71" s="68">
        <f>O68*0.3042</f>
        <v>336458.532130812</v>
      </c>
      <c r="P71" s="68">
        <f>P68*0.3042</f>
        <v>336458.532130812</v>
      </c>
      <c r="Q71" s="104">
        <f>Q68*30%</f>
        <v>762464.16</v>
      </c>
    </row>
    <row r="72" spans="3:17" ht="15">
      <c r="C72" s="4"/>
      <c r="D72" s="14" t="s">
        <v>86</v>
      </c>
      <c r="E72" s="39" t="s">
        <v>87</v>
      </c>
      <c r="F72" s="18" t="str">
        <f>IF(izm_type&lt;&gt;"руб.,Гкал","тыс.","")&amp;"руб."</f>
        <v>руб.</v>
      </c>
      <c r="G72" s="66">
        <v>984662.95</v>
      </c>
      <c r="H72" s="68">
        <v>988246.87</v>
      </c>
      <c r="I72" s="68">
        <f>L72/12*4</f>
        <v>250807.95333333334</v>
      </c>
      <c r="J72" s="68">
        <f>L72/12*2</f>
        <v>125403.97666666667</v>
      </c>
      <c r="K72" s="66">
        <f>L72/12*4</f>
        <v>250807.95333333334</v>
      </c>
      <c r="L72" s="84">
        <v>752423.86</v>
      </c>
      <c r="M72" s="68">
        <v>988246.87</v>
      </c>
      <c r="N72" s="68">
        <f>O72+P72</f>
        <v>752423.86</v>
      </c>
      <c r="O72" s="68">
        <f>L72/12*6</f>
        <v>376211.93</v>
      </c>
      <c r="P72" s="68">
        <f>O72</f>
        <v>376211.93</v>
      </c>
      <c r="Q72" s="104">
        <v>752423.86</v>
      </c>
    </row>
    <row r="73" spans="3:17" ht="15">
      <c r="C73" s="4"/>
      <c r="D73" s="14" t="s">
        <v>88</v>
      </c>
      <c r="E73" s="40" t="s">
        <v>89</v>
      </c>
      <c r="F73" s="18" t="str">
        <f>IF(izm_type&lt;&gt;"руб.,Гкал","тыс.","")&amp;"руб."</f>
        <v>руб.</v>
      </c>
      <c r="G73" s="12">
        <f aca="true" t="shared" si="20" ref="G73:P73">SUM(G74:G77)</f>
        <v>72327.87</v>
      </c>
      <c r="H73" s="12">
        <f t="shared" si="20"/>
        <v>371244</v>
      </c>
      <c r="I73" s="12">
        <f t="shared" si="20"/>
        <v>61842.55</v>
      </c>
      <c r="J73" s="12">
        <f t="shared" si="20"/>
        <v>20614.183333333334</v>
      </c>
      <c r="K73" s="12">
        <f t="shared" si="20"/>
        <v>41228.36666666667</v>
      </c>
      <c r="L73" s="85">
        <f t="shared" si="20"/>
        <v>123685.1</v>
      </c>
      <c r="M73" s="72">
        <f t="shared" si="20"/>
        <v>74974.18</v>
      </c>
      <c r="N73" s="12">
        <f t="shared" si="20"/>
        <v>74974.18</v>
      </c>
      <c r="O73" s="12">
        <f t="shared" si="20"/>
        <v>37487.09</v>
      </c>
      <c r="P73" s="12">
        <f t="shared" si="20"/>
        <v>37487.09</v>
      </c>
      <c r="Q73" s="113">
        <f>SUM(Q74:Q77)</f>
        <v>371244</v>
      </c>
    </row>
    <row r="74" spans="3:17" ht="15">
      <c r="C74" s="4"/>
      <c r="D74" s="14" t="s">
        <v>90</v>
      </c>
      <c r="E74" s="20" t="s">
        <v>91</v>
      </c>
      <c r="F74" s="18" t="str">
        <f>IF(izm_type&lt;&gt;"руб.,Гкал","тыс.","")&amp;"руб."</f>
        <v>руб.</v>
      </c>
      <c r="G74" s="19"/>
      <c r="H74" s="19"/>
      <c r="I74" s="19"/>
      <c r="J74" s="19"/>
      <c r="K74" s="19"/>
      <c r="L74" s="87"/>
      <c r="M74" s="65"/>
      <c r="N74" s="19"/>
      <c r="O74" s="19"/>
      <c r="P74" s="19"/>
      <c r="Q74" s="110"/>
    </row>
    <row r="75" spans="3:17" ht="15">
      <c r="C75" s="4"/>
      <c r="D75" s="14" t="s">
        <v>92</v>
      </c>
      <c r="E75" s="41" t="s">
        <v>93</v>
      </c>
      <c r="F75" s="18" t="str">
        <f>IF(izm_type&lt;&gt;"руб.,Гкал","тыс.","")&amp;"руб."</f>
        <v>руб.</v>
      </c>
      <c r="G75" s="37">
        <v>72327.87</v>
      </c>
      <c r="H75" s="19">
        <v>371244</v>
      </c>
      <c r="I75" s="19">
        <f>L75/12*6</f>
        <v>61842.55</v>
      </c>
      <c r="J75" s="19">
        <f>L75/12*2</f>
        <v>20614.183333333334</v>
      </c>
      <c r="K75" s="37">
        <f>L75/12*4</f>
        <v>41228.36666666667</v>
      </c>
      <c r="L75" s="87">
        <v>123685.1</v>
      </c>
      <c r="M75" s="65">
        <v>74974.18</v>
      </c>
      <c r="N75" s="19">
        <v>74974.18</v>
      </c>
      <c r="O75" s="19">
        <f>N75/2</f>
        <v>37487.09</v>
      </c>
      <c r="P75" s="19">
        <f>O75</f>
        <v>37487.09</v>
      </c>
      <c r="Q75" s="110">
        <v>371244</v>
      </c>
    </row>
    <row r="76" spans="3:17" ht="15" hidden="1">
      <c r="C76" s="4"/>
      <c r="D76" s="42" t="s">
        <v>92</v>
      </c>
      <c r="E76" s="20"/>
      <c r="F76" s="18"/>
      <c r="G76" s="43"/>
      <c r="H76" s="43"/>
      <c r="I76" s="43"/>
      <c r="J76" s="43"/>
      <c r="K76" s="43"/>
      <c r="L76" s="100"/>
      <c r="M76" s="75"/>
      <c r="N76" s="43"/>
      <c r="O76" s="43"/>
      <c r="P76" s="43"/>
      <c r="Q76" s="120"/>
    </row>
    <row r="77" spans="3:17" ht="15" hidden="1">
      <c r="C77" s="4"/>
      <c r="D77" s="44"/>
      <c r="E77" s="45" t="s">
        <v>94</v>
      </c>
      <c r="F77" s="46"/>
      <c r="G77" s="76"/>
      <c r="H77" s="76"/>
      <c r="I77" s="76"/>
      <c r="J77" s="76"/>
      <c r="K77" s="76"/>
      <c r="L77" s="101"/>
      <c r="M77" s="77"/>
      <c r="N77" s="76"/>
      <c r="O77" s="76"/>
      <c r="P77" s="76"/>
      <c r="Q77" s="121"/>
    </row>
    <row r="78" spans="3:17" ht="15">
      <c r="C78" s="4"/>
      <c r="D78" s="14" t="s">
        <v>95</v>
      </c>
      <c r="E78" s="27" t="s">
        <v>96</v>
      </c>
      <c r="F78" s="18" t="str">
        <f>IF(izm_type&lt;&gt;"руб.,Гкал","тыс.","")&amp;"руб."</f>
        <v>руб.</v>
      </c>
      <c r="G78" s="12">
        <f aca="true" t="shared" si="21" ref="G78:P78">G79+SUM(G81:G84)</f>
        <v>0</v>
      </c>
      <c r="H78" s="72">
        <f t="shared" si="21"/>
        <v>1585105.32073</v>
      </c>
      <c r="I78" s="12">
        <f t="shared" si="21"/>
        <v>766142.9750000001</v>
      </c>
      <c r="J78" s="12">
        <f t="shared" si="21"/>
        <v>255380.99166666667</v>
      </c>
      <c r="K78" s="12">
        <f t="shared" si="21"/>
        <v>510761.98333333334</v>
      </c>
      <c r="L78" s="85">
        <f t="shared" si="21"/>
        <v>1532285.9500000002</v>
      </c>
      <c r="M78" s="72">
        <f t="shared" si="21"/>
        <v>422229.65</v>
      </c>
      <c r="N78" s="12">
        <f t="shared" si="21"/>
        <v>422229.65</v>
      </c>
      <c r="O78" s="12">
        <f t="shared" si="21"/>
        <v>211114.825</v>
      </c>
      <c r="P78" s="12">
        <f t="shared" si="21"/>
        <v>211114.825</v>
      </c>
      <c r="Q78" s="113">
        <f>Q79+SUM(Q81:Q84)</f>
        <v>1691626.2311412003</v>
      </c>
    </row>
    <row r="79" spans="3:18" ht="15">
      <c r="C79" s="4"/>
      <c r="D79" s="42" t="s">
        <v>97</v>
      </c>
      <c r="E79" s="47" t="s">
        <v>98</v>
      </c>
      <c r="F79" s="18" t="str">
        <f>IF(izm_type&lt;&gt;"руб.,Гкал","тыс.","")&amp;"руб."</f>
        <v>руб.</v>
      </c>
      <c r="G79" s="19"/>
      <c r="H79" s="65">
        <f>181478.35+8925+285883.41+162567.49+144877.31+100169.02+49863.11+288368.4</f>
        <v>1222132.09</v>
      </c>
      <c r="I79" s="19">
        <f>L79/12*6</f>
        <v>603824.435</v>
      </c>
      <c r="J79" s="19">
        <f>L79/12*2</f>
        <v>201274.81166666668</v>
      </c>
      <c r="K79" s="19">
        <f>L79/12*4</f>
        <v>402549.62333333335</v>
      </c>
      <c r="L79" s="87">
        <v>1207648.87</v>
      </c>
      <c r="M79" s="65">
        <v>324044.24</v>
      </c>
      <c r="N79" s="19">
        <f>M79</f>
        <v>324044.24</v>
      </c>
      <c r="O79" s="19">
        <f>N79/2</f>
        <v>162022.12</v>
      </c>
      <c r="P79" s="19">
        <f>O79</f>
        <v>162022.12</v>
      </c>
      <c r="Q79" s="110">
        <f>L79*1.08</f>
        <v>1304260.7796000002</v>
      </c>
      <c r="R79" s="1">
        <v>1.08</v>
      </c>
    </row>
    <row r="80" spans="3:17" ht="22.5">
      <c r="C80" s="4"/>
      <c r="D80" s="42" t="s">
        <v>99</v>
      </c>
      <c r="E80" s="47" t="s">
        <v>100</v>
      </c>
      <c r="F80" s="48" t="s">
        <v>101</v>
      </c>
      <c r="G80" s="19"/>
      <c r="H80" s="65">
        <f>0.5+0.15+0.25+0.03+0.4+0.25+0.43</f>
        <v>2.0100000000000002</v>
      </c>
      <c r="I80" s="19">
        <f>0.43+1.65+0.5+0.03</f>
        <v>2.61</v>
      </c>
      <c r="J80" s="19">
        <f>0.43+1.65+0.5+0.03</f>
        <v>2.61</v>
      </c>
      <c r="K80" s="19">
        <f>0.43+1.65+0.5+0.03</f>
        <v>2.61</v>
      </c>
      <c r="L80" s="87">
        <f>0.43+1.65+0.5+0.03</f>
        <v>2.61</v>
      </c>
      <c r="M80" s="65">
        <v>0.93</v>
      </c>
      <c r="N80" s="65">
        <v>0.93</v>
      </c>
      <c r="O80" s="65">
        <v>0.93</v>
      </c>
      <c r="P80" s="65">
        <v>0.93</v>
      </c>
      <c r="Q80" s="110">
        <v>2.61</v>
      </c>
    </row>
    <row r="81" spans="3:17" ht="22.5">
      <c r="C81" s="4"/>
      <c r="D81" s="42" t="s">
        <v>102</v>
      </c>
      <c r="E81" s="47" t="s">
        <v>103</v>
      </c>
      <c r="F81" s="18" t="str">
        <f>IF(izm_type&lt;&gt;"руб.,Гкал","тыс.","")&amp;"руб."</f>
        <v>руб.</v>
      </c>
      <c r="G81" s="19"/>
      <c r="H81" s="65">
        <f>H79*0.297</f>
        <v>362973.23073</v>
      </c>
      <c r="I81" s="65">
        <f>L81/L79*I79</f>
        <v>162318.54</v>
      </c>
      <c r="J81" s="65">
        <f>L81/L79*J79</f>
        <v>54106.18</v>
      </c>
      <c r="K81" s="65">
        <f>L81/L79*K79</f>
        <v>108212.36</v>
      </c>
      <c r="L81" s="87">
        <v>324637.08</v>
      </c>
      <c r="M81" s="65">
        <v>98185.41</v>
      </c>
      <c r="N81" s="65">
        <f>M81</f>
        <v>98185.41</v>
      </c>
      <c r="O81" s="65">
        <f>N81/2</f>
        <v>49092.705</v>
      </c>
      <c r="P81" s="65">
        <f>O81</f>
        <v>49092.705</v>
      </c>
      <c r="Q81" s="110">
        <f>Q79*0.297</f>
        <v>387365.45154120005</v>
      </c>
    </row>
    <row r="82" spans="3:17" ht="15" hidden="1">
      <c r="C82" s="4"/>
      <c r="D82" s="42" t="s">
        <v>102</v>
      </c>
      <c r="E82" s="20"/>
      <c r="F82" s="18" t="str">
        <f>IF(izm_type&lt;&gt;"руб.,Гкал","тыс.","")&amp;"руб."</f>
        <v>руб.</v>
      </c>
      <c r="G82" s="43"/>
      <c r="H82" s="43"/>
      <c r="I82" s="43"/>
      <c r="J82" s="43"/>
      <c r="K82" s="43"/>
      <c r="L82" s="100"/>
      <c r="M82" s="75"/>
      <c r="N82" s="43"/>
      <c r="O82" s="43"/>
      <c r="P82" s="43"/>
      <c r="Q82" s="120"/>
    </row>
    <row r="83" spans="3:17" ht="15" hidden="1">
      <c r="C83" s="4"/>
      <c r="D83" s="42"/>
      <c r="E83" s="56" t="s">
        <v>169</v>
      </c>
      <c r="F83" s="18" t="str">
        <f>IF(izm_type&lt;&gt;"руб.,Гкал","тыс.","")&amp;"руб."</f>
        <v>руб.</v>
      </c>
      <c r="G83" s="19"/>
      <c r="H83" s="19"/>
      <c r="I83" s="64"/>
      <c r="J83" s="64"/>
      <c r="K83" s="64"/>
      <c r="L83" s="102"/>
      <c r="M83" s="65"/>
      <c r="N83" s="64"/>
      <c r="O83" s="64"/>
      <c r="P83" s="64"/>
      <c r="Q83" s="110"/>
    </row>
    <row r="84" spans="3:17" ht="15" hidden="1">
      <c r="C84" s="4"/>
      <c r="D84" s="44"/>
      <c r="E84" s="45" t="s">
        <v>104</v>
      </c>
      <c r="F84" s="46"/>
      <c r="G84" s="76"/>
      <c r="H84" s="76"/>
      <c r="I84" s="76"/>
      <c r="J84" s="76"/>
      <c r="K84" s="76"/>
      <c r="L84" s="101"/>
      <c r="M84" s="77"/>
      <c r="N84" s="76"/>
      <c r="O84" s="76"/>
      <c r="P84" s="76"/>
      <c r="Q84" s="121"/>
    </row>
    <row r="85" spans="3:17" ht="15">
      <c r="C85" s="4"/>
      <c r="D85" s="14" t="s">
        <v>105</v>
      </c>
      <c r="E85" s="27" t="s">
        <v>106</v>
      </c>
      <c r="F85" s="18" t="str">
        <f>IF(izm_type&lt;&gt;"руб.,Гкал","тыс.","")&amp;"руб."</f>
        <v>руб.</v>
      </c>
      <c r="G85" s="67">
        <f aca="true" t="shared" si="22" ref="G85:P85">G86+G88+G89+G90+G91+G92+G93+G97</f>
        <v>2627452.862881356</v>
      </c>
      <c r="H85" s="67">
        <f t="shared" si="22"/>
        <v>5175433.96496</v>
      </c>
      <c r="I85" s="67">
        <f t="shared" si="22"/>
        <v>2328543.85</v>
      </c>
      <c r="J85" s="67">
        <f t="shared" si="22"/>
        <v>776181.2833333332</v>
      </c>
      <c r="K85" s="67">
        <f t="shared" si="22"/>
        <v>1552362.5666666664</v>
      </c>
      <c r="L85" s="89">
        <f t="shared" si="22"/>
        <v>4657087.7</v>
      </c>
      <c r="M85" s="67">
        <f t="shared" si="22"/>
        <v>5028131.109999999</v>
      </c>
      <c r="N85" s="67">
        <f t="shared" si="22"/>
        <v>2325876.3263403997</v>
      </c>
      <c r="O85" s="67">
        <f t="shared" si="22"/>
        <v>1162938.1631701998</v>
      </c>
      <c r="P85" s="67">
        <f t="shared" si="22"/>
        <v>1162938.1631701998</v>
      </c>
      <c r="Q85" s="111">
        <f>Q86+Q88+Q89+Q90+Q91+Q92+Q93+Q97</f>
        <v>5206198.262753</v>
      </c>
    </row>
    <row r="86" spans="3:18" ht="15">
      <c r="C86" s="4"/>
      <c r="D86" s="14" t="s">
        <v>107</v>
      </c>
      <c r="E86" s="41" t="s">
        <v>108</v>
      </c>
      <c r="F86" s="18" t="str">
        <f>IF(izm_type&lt;&gt;"руб.,Гкал","тыс.","")&amp;"руб."</f>
        <v>руб.</v>
      </c>
      <c r="G86" s="19">
        <v>1562544</v>
      </c>
      <c r="H86" s="65">
        <f>2696738.03-181478.35</f>
        <v>2515259.6799999997</v>
      </c>
      <c r="I86" s="19">
        <f>L86/12*6</f>
        <v>1327638.69</v>
      </c>
      <c r="J86" s="19">
        <f>L86/12*2</f>
        <v>442546.23</v>
      </c>
      <c r="K86" s="19">
        <f>L86/12*4</f>
        <v>885092.46</v>
      </c>
      <c r="L86" s="84">
        <v>2655277.38</v>
      </c>
      <c r="M86" s="65">
        <v>2248299.12</v>
      </c>
      <c r="N86" s="19">
        <f>O86+P86</f>
        <v>1192089.4619999998</v>
      </c>
      <c r="O86" s="19">
        <f>O73*O87*6</f>
        <v>596044.7309999999</v>
      </c>
      <c r="P86" s="19">
        <f>P73*P87*6</f>
        <v>596044.7309999999</v>
      </c>
      <c r="Q86" s="110">
        <f>L86*1.05</f>
        <v>2788041.249</v>
      </c>
      <c r="R86" s="1">
        <v>1.05</v>
      </c>
    </row>
    <row r="87" spans="3:17" ht="22.5">
      <c r="C87" s="4"/>
      <c r="D87" s="14" t="s">
        <v>109</v>
      </c>
      <c r="E87" s="49" t="s">
        <v>110</v>
      </c>
      <c r="F87" s="50" t="s">
        <v>101</v>
      </c>
      <c r="G87" s="19">
        <v>3</v>
      </c>
      <c r="H87" s="65">
        <f>0.25+0.25+0.15+0.25+0.25+0.8+0.25+0.1+0.1+0.25</f>
        <v>2.6500000000000004</v>
      </c>
      <c r="I87" s="19">
        <f>2.65</f>
        <v>2.65</v>
      </c>
      <c r="J87" s="19">
        <v>2.65</v>
      </c>
      <c r="K87" s="19">
        <v>2.65</v>
      </c>
      <c r="L87" s="84">
        <v>2.65</v>
      </c>
      <c r="M87" s="65">
        <v>3.9</v>
      </c>
      <c r="N87" s="19">
        <v>2.65</v>
      </c>
      <c r="O87" s="19">
        <v>2.65</v>
      </c>
      <c r="P87" s="19">
        <v>2.65</v>
      </c>
      <c r="Q87" s="110">
        <f>0.25+0.25+0.15+0.25+0.25+0.8+0.25+0.1+0.1+0.25</f>
        <v>2.6500000000000004</v>
      </c>
    </row>
    <row r="88" spans="3:17" ht="15">
      <c r="C88" s="4"/>
      <c r="D88" s="14" t="s">
        <v>111</v>
      </c>
      <c r="E88" s="41" t="s">
        <v>112</v>
      </c>
      <c r="F88" s="18" t="str">
        <f aca="true" t="shared" si="23" ref="F88:F99">IF(izm_type&lt;&gt;"руб.,Гкал","тыс.","")&amp;"руб."</f>
        <v>руб.</v>
      </c>
      <c r="G88" s="19">
        <v>531264.9600000001</v>
      </c>
      <c r="H88" s="65">
        <f>H86*0.297</f>
        <v>747032.1249599999</v>
      </c>
      <c r="I88" s="65">
        <f>L88/L86*I86</f>
        <v>236319.685</v>
      </c>
      <c r="J88" s="65">
        <f>L88/L86*J86</f>
        <v>78773.22833333333</v>
      </c>
      <c r="K88" s="65">
        <f>L88/L86*K86</f>
        <v>157546.45666666667</v>
      </c>
      <c r="L88" s="84">
        <v>472639.37</v>
      </c>
      <c r="M88" s="65">
        <v>681234.63</v>
      </c>
      <c r="N88" s="65">
        <f>N86*0.3042</f>
        <v>362633.6143404</v>
      </c>
      <c r="O88" s="65">
        <f>O86*0.3042</f>
        <v>181316.8071702</v>
      </c>
      <c r="P88" s="65">
        <f>P86*0.3042</f>
        <v>181316.8071702</v>
      </c>
      <c r="Q88" s="110">
        <f>Q86*0.297</f>
        <v>828048.2509529999</v>
      </c>
    </row>
    <row r="89" spans="3:17" ht="15">
      <c r="C89" s="4"/>
      <c r="D89" s="14" t="s">
        <v>113</v>
      </c>
      <c r="E89" s="41" t="s">
        <v>114</v>
      </c>
      <c r="F89" s="18" t="str">
        <f t="shared" si="23"/>
        <v>руб.</v>
      </c>
      <c r="G89" s="19"/>
      <c r="H89" s="19"/>
      <c r="I89" s="19"/>
      <c r="J89" s="19"/>
      <c r="K89" s="19"/>
      <c r="L89" s="99"/>
      <c r="M89" s="65"/>
      <c r="N89" s="19"/>
      <c r="O89" s="19"/>
      <c r="P89" s="19"/>
      <c r="Q89" s="110"/>
    </row>
    <row r="90" spans="3:17" ht="15">
      <c r="C90" s="4"/>
      <c r="D90" s="14" t="s">
        <v>115</v>
      </c>
      <c r="E90" s="41" t="s">
        <v>116</v>
      </c>
      <c r="F90" s="18" t="str">
        <f t="shared" si="23"/>
        <v>руб.</v>
      </c>
      <c r="G90" s="37">
        <v>5515.67</v>
      </c>
      <c r="H90" s="19">
        <v>8916.84</v>
      </c>
      <c r="I90" s="19">
        <f>L90/12*6</f>
        <v>4399.03</v>
      </c>
      <c r="J90" s="19">
        <f>L90/12*2</f>
        <v>1466.3433333333332</v>
      </c>
      <c r="K90" s="37">
        <f>L90/12*4</f>
        <v>2932.6866666666665</v>
      </c>
      <c r="L90" s="84">
        <v>8798.06</v>
      </c>
      <c r="M90" s="65">
        <v>8916.84</v>
      </c>
      <c r="N90" s="19">
        <f>M90</f>
        <v>8916.84</v>
      </c>
      <c r="O90" s="19">
        <f>N90/2</f>
        <v>4458.42</v>
      </c>
      <c r="P90" s="19">
        <f>O90</f>
        <v>4458.42</v>
      </c>
      <c r="Q90" s="110">
        <v>8916.84</v>
      </c>
    </row>
    <row r="91" spans="3:17" ht="22.5">
      <c r="C91" s="4"/>
      <c r="D91" s="14" t="s">
        <v>117</v>
      </c>
      <c r="E91" s="41" t="s">
        <v>118</v>
      </c>
      <c r="F91" s="18" t="str">
        <f t="shared" si="23"/>
        <v>руб.</v>
      </c>
      <c r="G91" s="37">
        <v>585.86</v>
      </c>
      <c r="H91" s="65">
        <v>1806.11</v>
      </c>
      <c r="I91" s="65">
        <f>L91/12*6</f>
        <v>838.3399999999999</v>
      </c>
      <c r="J91" s="65">
        <f>L91/12*2</f>
        <v>279.44666666666666</v>
      </c>
      <c r="K91" s="37">
        <f>L91/12*4</f>
        <v>558.8933333333333</v>
      </c>
      <c r="L91" s="87">
        <v>1676.68</v>
      </c>
      <c r="M91" s="65">
        <v>1896</v>
      </c>
      <c r="N91" s="65">
        <f>O91+P91</f>
        <v>1676.6799999999998</v>
      </c>
      <c r="O91" s="65">
        <f>L91/12*6</f>
        <v>838.3399999999999</v>
      </c>
      <c r="P91" s="65">
        <f>O91</f>
        <v>838.3399999999999</v>
      </c>
      <c r="Q91" s="110">
        <v>1806.11</v>
      </c>
    </row>
    <row r="92" spans="3:17" ht="15">
      <c r="C92" s="4"/>
      <c r="D92" s="14" t="s">
        <v>119</v>
      </c>
      <c r="E92" s="41" t="s">
        <v>120</v>
      </c>
      <c r="F92" s="18" t="str">
        <f t="shared" si="23"/>
        <v>руб.</v>
      </c>
      <c r="G92" s="19"/>
      <c r="H92" s="19"/>
      <c r="I92" s="19"/>
      <c r="J92" s="19"/>
      <c r="K92" s="19"/>
      <c r="L92" s="87"/>
      <c r="M92" s="65"/>
      <c r="N92" s="19"/>
      <c r="O92" s="19"/>
      <c r="P92" s="19"/>
      <c r="Q92" s="110"/>
    </row>
    <row r="93" spans="3:17" ht="22.5">
      <c r="C93" s="4"/>
      <c r="D93" s="14" t="s">
        <v>121</v>
      </c>
      <c r="E93" s="41" t="s">
        <v>122</v>
      </c>
      <c r="F93" s="18" t="str">
        <f t="shared" si="23"/>
        <v>руб.</v>
      </c>
      <c r="G93" s="17">
        <f>G94+G95</f>
        <v>0</v>
      </c>
      <c r="H93" s="17">
        <f aca="true" t="shared" si="24" ref="H93:P93">H94+H95+H96</f>
        <v>93977.12999999999</v>
      </c>
      <c r="I93" s="17">
        <f t="shared" si="24"/>
        <v>38630.91</v>
      </c>
      <c r="J93" s="17">
        <f t="shared" si="24"/>
        <v>12876.97</v>
      </c>
      <c r="K93" s="17">
        <f t="shared" si="24"/>
        <v>25753.94</v>
      </c>
      <c r="L93" s="86">
        <f t="shared" si="24"/>
        <v>77261.82</v>
      </c>
      <c r="M93" s="71">
        <f t="shared" si="24"/>
        <v>93977.12999999999</v>
      </c>
      <c r="N93" s="17">
        <f t="shared" si="24"/>
        <v>77119</v>
      </c>
      <c r="O93" s="17">
        <f t="shared" si="24"/>
        <v>38559.5</v>
      </c>
      <c r="P93" s="17">
        <f t="shared" si="24"/>
        <v>38559.5</v>
      </c>
      <c r="Q93" s="107">
        <f>Q94+Q95+Q96</f>
        <v>77311.93</v>
      </c>
    </row>
    <row r="94" spans="3:17" ht="15">
      <c r="C94" s="4"/>
      <c r="D94" s="14" t="s">
        <v>123</v>
      </c>
      <c r="E94" s="49" t="s">
        <v>124</v>
      </c>
      <c r="F94" s="18" t="str">
        <f t="shared" si="23"/>
        <v>руб.</v>
      </c>
      <c r="G94" s="19"/>
      <c r="H94" s="19"/>
      <c r="I94" s="19"/>
      <c r="J94" s="19"/>
      <c r="K94" s="19"/>
      <c r="L94" s="99"/>
      <c r="M94" s="65"/>
      <c r="N94" s="19"/>
      <c r="O94" s="19"/>
      <c r="P94" s="19"/>
      <c r="Q94" s="110"/>
    </row>
    <row r="95" spans="3:17" ht="15">
      <c r="C95" s="4"/>
      <c r="D95" s="14" t="s">
        <v>125</v>
      </c>
      <c r="E95" s="49" t="s">
        <v>126</v>
      </c>
      <c r="F95" s="18" t="str">
        <f t="shared" si="23"/>
        <v>руб.</v>
      </c>
      <c r="G95" s="19"/>
      <c r="H95" s="65">
        <v>93784.2</v>
      </c>
      <c r="I95" s="65">
        <f>L95/12*6</f>
        <v>38559.5</v>
      </c>
      <c r="J95" s="65">
        <f>L95/12*2</f>
        <v>12853.166666666666</v>
      </c>
      <c r="K95" s="65">
        <f>L95/12*4</f>
        <v>25706.333333333332</v>
      </c>
      <c r="L95" s="87">
        <v>77119</v>
      </c>
      <c r="M95" s="65">
        <v>93784.2</v>
      </c>
      <c r="N95" s="65">
        <f>O95+P95</f>
        <v>77119</v>
      </c>
      <c r="O95" s="65">
        <f>I95</f>
        <v>38559.5</v>
      </c>
      <c r="P95" s="65">
        <f>O95</f>
        <v>38559.5</v>
      </c>
      <c r="Q95" s="110">
        <v>77119</v>
      </c>
    </row>
    <row r="96" spans="3:17" ht="15">
      <c r="C96" s="4"/>
      <c r="D96" s="14" t="s">
        <v>172</v>
      </c>
      <c r="E96" s="49" t="s">
        <v>171</v>
      </c>
      <c r="F96" s="18" t="str">
        <f t="shared" si="23"/>
        <v>руб.</v>
      </c>
      <c r="G96" s="19"/>
      <c r="H96" s="19">
        <v>192.93</v>
      </c>
      <c r="I96" s="65">
        <f>L96/12*6</f>
        <v>71.41</v>
      </c>
      <c r="J96" s="65">
        <f>L96/12*2</f>
        <v>23.80333333333333</v>
      </c>
      <c r="K96" s="65">
        <f>L96/12*4</f>
        <v>47.60666666666666</v>
      </c>
      <c r="L96" s="87">
        <v>142.82</v>
      </c>
      <c r="M96" s="65">
        <v>192.93</v>
      </c>
      <c r="N96" s="19"/>
      <c r="O96" s="19"/>
      <c r="P96" s="19"/>
      <c r="Q96" s="110">
        <v>192.93</v>
      </c>
    </row>
    <row r="97" spans="3:17" ht="22.5">
      <c r="C97" s="4"/>
      <c r="D97" s="14" t="s">
        <v>127</v>
      </c>
      <c r="E97" s="41" t="s">
        <v>128</v>
      </c>
      <c r="F97" s="18" t="str">
        <f t="shared" si="23"/>
        <v>руб.</v>
      </c>
      <c r="G97" s="17">
        <f aca="true" t="shared" si="25" ref="G97:P97">SUM(G98:G100)</f>
        <v>527542.3728813559</v>
      </c>
      <c r="H97" s="17">
        <f t="shared" si="25"/>
        <v>1808442.08</v>
      </c>
      <c r="I97" s="17">
        <f t="shared" si="25"/>
        <v>720717.1950000001</v>
      </c>
      <c r="J97" s="17">
        <f t="shared" si="25"/>
        <v>240239.065</v>
      </c>
      <c r="K97" s="17">
        <f t="shared" si="25"/>
        <v>480478.13</v>
      </c>
      <c r="L97" s="85">
        <f t="shared" si="25"/>
        <v>1441434.3900000001</v>
      </c>
      <c r="M97" s="71">
        <f t="shared" si="25"/>
        <v>1993807.39</v>
      </c>
      <c r="N97" s="17">
        <f t="shared" si="25"/>
        <v>683440.73</v>
      </c>
      <c r="O97" s="17">
        <f t="shared" si="25"/>
        <v>341720.365</v>
      </c>
      <c r="P97" s="17">
        <f t="shared" si="25"/>
        <v>341720.365</v>
      </c>
      <c r="Q97" s="113">
        <f>SUM(Q98:Q100)</f>
        <v>1502073.8828</v>
      </c>
    </row>
    <row r="98" spans="3:17" ht="15">
      <c r="C98" s="4"/>
      <c r="D98" s="14" t="s">
        <v>129</v>
      </c>
      <c r="E98" s="49" t="s">
        <v>130</v>
      </c>
      <c r="F98" s="18" t="str">
        <f t="shared" si="23"/>
        <v>руб.</v>
      </c>
      <c r="G98" s="19">
        <f>3000/1.18*207.5</f>
        <v>527542.3728813559</v>
      </c>
      <c r="H98" s="19">
        <v>553040.06</v>
      </c>
      <c r="I98" s="19">
        <f>L98/12*6</f>
        <v>341720.365</v>
      </c>
      <c r="J98" s="19">
        <f>L98/12*2</f>
        <v>113906.78833333333</v>
      </c>
      <c r="K98" s="19">
        <f>L98/12*4</f>
        <v>227813.57666666666</v>
      </c>
      <c r="L98" s="87">
        <v>683440.73</v>
      </c>
      <c r="M98" s="65">
        <v>570508.44</v>
      </c>
      <c r="N98" s="19">
        <f>O98+P98</f>
        <v>683440.73</v>
      </c>
      <c r="O98" s="19">
        <f>L98/12*6</f>
        <v>341720.365</v>
      </c>
      <c r="P98" s="19">
        <f>O98</f>
        <v>341720.365</v>
      </c>
      <c r="Q98" s="110">
        <v>683440.73</v>
      </c>
    </row>
    <row r="99" spans="3:18" ht="15">
      <c r="C99" s="4"/>
      <c r="D99" s="14" t="s">
        <v>129</v>
      </c>
      <c r="E99" s="22" t="s">
        <v>170</v>
      </c>
      <c r="F99" s="18" t="str">
        <f t="shared" si="23"/>
        <v>руб.</v>
      </c>
      <c r="G99" s="19"/>
      <c r="H99" s="65">
        <v>1255402.02</v>
      </c>
      <c r="I99" s="65">
        <f>L99/12*6</f>
        <v>378996.83</v>
      </c>
      <c r="J99" s="65">
        <f>L99/12*2</f>
        <v>126332.27666666667</v>
      </c>
      <c r="K99" s="65">
        <f>L99/12*4</f>
        <v>252664.55333333334</v>
      </c>
      <c r="L99" s="87">
        <v>757993.66</v>
      </c>
      <c r="M99" s="65">
        <v>1423298.95</v>
      </c>
      <c r="N99" s="65"/>
      <c r="O99" s="65"/>
      <c r="P99" s="65"/>
      <c r="Q99" s="110">
        <f>L99*1.08</f>
        <v>818633.1528</v>
      </c>
      <c r="R99" s="1">
        <v>1.08</v>
      </c>
    </row>
    <row r="100" spans="3:17" ht="15" hidden="1">
      <c r="C100" s="4"/>
      <c r="D100" s="44"/>
      <c r="E100" s="45" t="s">
        <v>131</v>
      </c>
      <c r="F100" s="46"/>
      <c r="G100" s="76"/>
      <c r="H100" s="76"/>
      <c r="I100" s="76"/>
      <c r="J100" s="76"/>
      <c r="K100" s="76"/>
      <c r="L100" s="101"/>
      <c r="M100" s="77"/>
      <c r="N100" s="76"/>
      <c r="O100" s="76"/>
      <c r="P100" s="76"/>
      <c r="Q100" s="121"/>
    </row>
    <row r="101" spans="3:17" ht="15">
      <c r="C101" s="4"/>
      <c r="D101" s="14" t="s">
        <v>132</v>
      </c>
      <c r="E101" s="39" t="s">
        <v>133</v>
      </c>
      <c r="F101" s="18" t="str">
        <f>IF(izm_type&lt;&gt;"руб.,Гкал","тыс.","")&amp;"руб."</f>
        <v>руб.</v>
      </c>
      <c r="G101" s="37"/>
      <c r="H101" s="37"/>
      <c r="I101" s="37"/>
      <c r="J101" s="37"/>
      <c r="K101" s="37"/>
      <c r="L101" s="103"/>
      <c r="M101" s="37"/>
      <c r="N101" s="37">
        <f>O101+P101</f>
        <v>339290.85942101106</v>
      </c>
      <c r="O101" s="37">
        <v>339290.85942101106</v>
      </c>
      <c r="P101" s="37"/>
      <c r="Q101" s="114"/>
    </row>
    <row r="102" spans="3:17" ht="21.75" customHeight="1">
      <c r="C102" s="4"/>
      <c r="D102" s="14" t="s">
        <v>134</v>
      </c>
      <c r="E102" s="27" t="s">
        <v>135</v>
      </c>
      <c r="F102" s="18" t="str">
        <f>IF(izm_type&lt;&gt;"руб.,Гкал","тыс.","")&amp;"руб."</f>
        <v>руб.</v>
      </c>
      <c r="G102" s="37"/>
      <c r="H102" s="37"/>
      <c r="I102" s="37"/>
      <c r="J102" s="37"/>
      <c r="K102" s="37"/>
      <c r="L102" s="103"/>
      <c r="M102" s="37"/>
      <c r="N102" s="37">
        <f>O102+P102</f>
        <v>339290.85942101106</v>
      </c>
      <c r="O102" s="37"/>
      <c r="P102" s="37">
        <f>O101</f>
        <v>339290.85942101106</v>
      </c>
      <c r="Q102" s="117"/>
    </row>
    <row r="103" spans="3:17" ht="15" hidden="1">
      <c r="C103" s="4"/>
      <c r="D103" s="44"/>
      <c r="E103" s="45" t="s">
        <v>136</v>
      </c>
      <c r="F103" s="46"/>
      <c r="G103" s="76"/>
      <c r="H103" s="76"/>
      <c r="I103" s="76"/>
      <c r="J103" s="76"/>
      <c r="K103" s="76"/>
      <c r="L103" s="94"/>
      <c r="M103" s="77"/>
      <c r="N103" s="76"/>
      <c r="O103" s="76"/>
      <c r="P103" s="76"/>
      <c r="Q103" s="116"/>
    </row>
    <row r="104" spans="3:17" ht="15">
      <c r="C104" s="4"/>
      <c r="D104" s="51" t="s">
        <v>137</v>
      </c>
      <c r="E104" s="52" t="s">
        <v>138</v>
      </c>
      <c r="F104" s="53" t="str">
        <f aca="true" t="shared" si="26" ref="F104:F109">IF(izm_type&lt;&gt;"руб.,Гкал","тыс.","")&amp;"руб."</f>
        <v>руб.</v>
      </c>
      <c r="G104" s="12">
        <f aca="true" t="shared" si="27" ref="G104:P104">G24+G25+G38+G51+G58+G61+G64+G67+G68+G71+G72+G73+G78+G85+G101-G102+SUM(G103:G103)</f>
        <v>22087149.814911354</v>
      </c>
      <c r="H104" s="12">
        <f t="shared" si="27"/>
        <v>26793127.961268</v>
      </c>
      <c r="I104" s="12">
        <f t="shared" si="27"/>
        <v>14846260.189721838</v>
      </c>
      <c r="J104" s="12">
        <f t="shared" si="27"/>
        <v>2053725.2707979016</v>
      </c>
      <c r="K104" s="12">
        <f t="shared" si="27"/>
        <v>9360272.031951867</v>
      </c>
      <c r="L104" s="85">
        <f t="shared" si="27"/>
        <v>26077410.40542574</v>
      </c>
      <c r="M104" s="72">
        <f t="shared" si="27"/>
        <v>27241077.049999997</v>
      </c>
      <c r="N104" s="12">
        <f t="shared" si="27"/>
        <v>23672744.18600442</v>
      </c>
      <c r="O104" s="12">
        <f t="shared" si="27"/>
        <v>14133685.330569651</v>
      </c>
      <c r="P104" s="12">
        <f t="shared" si="27"/>
        <v>9539058.85543477</v>
      </c>
      <c r="Q104" s="113">
        <f>Q25+Q58+Q64+Q67+Q68+Q71+Q72+Q73+Q78+Q85+Q97</f>
        <v>30771696.7535766</v>
      </c>
    </row>
    <row r="105" spans="3:17" ht="15">
      <c r="C105" s="4"/>
      <c r="D105" s="51" t="s">
        <v>139</v>
      </c>
      <c r="E105" s="54" t="s">
        <v>140</v>
      </c>
      <c r="F105" s="53" t="str">
        <f t="shared" si="26"/>
        <v>руб.</v>
      </c>
      <c r="G105" s="12">
        <f aca="true" t="shared" si="28" ref="G105:P105">SUM(G106:G109)+G113</f>
        <v>45257.44928946814</v>
      </c>
      <c r="H105" s="12">
        <f t="shared" si="28"/>
        <v>0</v>
      </c>
      <c r="I105" s="12">
        <f t="shared" si="28"/>
        <v>0</v>
      </c>
      <c r="J105" s="12">
        <f t="shared" si="28"/>
        <v>0</v>
      </c>
      <c r="K105" s="12">
        <f t="shared" si="28"/>
        <v>36205.95943157451</v>
      </c>
      <c r="L105" s="85">
        <f>L104*1.53%</f>
        <v>398984.37920301384</v>
      </c>
      <c r="M105" s="72">
        <f t="shared" si="28"/>
        <v>229187.72999999998</v>
      </c>
      <c r="N105" s="12">
        <f t="shared" si="28"/>
        <v>0</v>
      </c>
      <c r="O105" s="12">
        <f t="shared" si="28"/>
        <v>0</v>
      </c>
      <c r="P105" s="12">
        <f t="shared" si="28"/>
        <v>0</v>
      </c>
      <c r="Q105" s="113">
        <f>SUM(Q106:Q109)+Q113</f>
        <v>307300.18</v>
      </c>
    </row>
    <row r="106" spans="3:17" ht="15">
      <c r="C106" s="4"/>
      <c r="D106" s="14" t="s">
        <v>141</v>
      </c>
      <c r="E106" s="27" t="s">
        <v>142</v>
      </c>
      <c r="F106" s="18" t="str">
        <f t="shared" si="26"/>
        <v>руб.</v>
      </c>
      <c r="G106" s="19"/>
      <c r="H106" s="19"/>
      <c r="I106" s="19"/>
      <c r="J106" s="19"/>
      <c r="K106" s="19"/>
      <c r="L106" s="87">
        <v>125527.35</v>
      </c>
      <c r="M106" s="65">
        <v>89565.98</v>
      </c>
      <c r="N106" s="19"/>
      <c r="O106" s="19"/>
      <c r="P106" s="19"/>
      <c r="Q106" s="110"/>
    </row>
    <row r="107" spans="3:17" ht="15">
      <c r="C107" s="4"/>
      <c r="D107" s="14" t="s">
        <v>143</v>
      </c>
      <c r="E107" s="27" t="s">
        <v>144</v>
      </c>
      <c r="F107" s="18" t="str">
        <f t="shared" si="26"/>
        <v>руб.</v>
      </c>
      <c r="G107" s="19"/>
      <c r="H107" s="19"/>
      <c r="I107" s="19"/>
      <c r="J107" s="19"/>
      <c r="K107" s="19"/>
      <c r="L107" s="87"/>
      <c r="M107" s="65"/>
      <c r="N107" s="19"/>
      <c r="O107" s="19"/>
      <c r="P107" s="19"/>
      <c r="Q107" s="110">
        <v>23620.96</v>
      </c>
    </row>
    <row r="108" spans="3:17" ht="15">
      <c r="C108" s="4"/>
      <c r="D108" s="14" t="s">
        <v>145</v>
      </c>
      <c r="E108" s="27" t="s">
        <v>146</v>
      </c>
      <c r="F108" s="18" t="str">
        <f t="shared" si="26"/>
        <v>руб.</v>
      </c>
      <c r="G108" s="19"/>
      <c r="H108" s="19"/>
      <c r="I108" s="19"/>
      <c r="J108" s="19"/>
      <c r="K108" s="19"/>
      <c r="L108" s="87">
        <v>46360.76</v>
      </c>
      <c r="M108" s="65"/>
      <c r="N108" s="19"/>
      <c r="O108" s="19"/>
      <c r="P108" s="19"/>
      <c r="Q108" s="110">
        <v>94483.84</v>
      </c>
    </row>
    <row r="109" spans="3:17" ht="15">
      <c r="C109" s="4"/>
      <c r="D109" s="14" t="s">
        <v>147</v>
      </c>
      <c r="E109" s="40" t="s">
        <v>148</v>
      </c>
      <c r="F109" s="18" t="str">
        <f t="shared" si="26"/>
        <v>руб.</v>
      </c>
      <c r="G109" s="17">
        <f aca="true" t="shared" si="29" ref="G109:P109">SUM(G110:G112)</f>
        <v>36205.95943157451</v>
      </c>
      <c r="H109" s="17">
        <f t="shared" si="29"/>
        <v>0</v>
      </c>
      <c r="I109" s="17">
        <f t="shared" si="29"/>
        <v>0</v>
      </c>
      <c r="J109" s="17">
        <f t="shared" si="29"/>
        <v>0</v>
      </c>
      <c r="K109" s="17">
        <f t="shared" si="29"/>
        <v>36205.95943157451</v>
      </c>
      <c r="L109" s="86">
        <v>73666.33</v>
      </c>
      <c r="M109" s="71">
        <f t="shared" si="29"/>
        <v>0</v>
      </c>
      <c r="N109" s="17">
        <f t="shared" si="29"/>
        <v>0</v>
      </c>
      <c r="O109" s="17">
        <f t="shared" si="29"/>
        <v>0</v>
      </c>
      <c r="P109" s="17">
        <f t="shared" si="29"/>
        <v>0</v>
      </c>
      <c r="Q109" s="107">
        <v>50616.34</v>
      </c>
    </row>
    <row r="110" spans="3:17" ht="15" hidden="1">
      <c r="C110" s="4"/>
      <c r="D110" s="14" t="s">
        <v>149</v>
      </c>
      <c r="E110" s="20"/>
      <c r="F110" s="18"/>
      <c r="G110" s="43"/>
      <c r="H110" s="43"/>
      <c r="I110" s="43"/>
      <c r="J110" s="43"/>
      <c r="K110" s="43"/>
      <c r="L110" s="93"/>
      <c r="M110" s="75"/>
      <c r="N110" s="43"/>
      <c r="O110" s="43"/>
      <c r="P110" s="43"/>
      <c r="Q110" s="120"/>
    </row>
    <row r="111" spans="3:17" ht="15" hidden="1">
      <c r="C111" s="4"/>
      <c r="D111" s="55"/>
      <c r="E111" s="56"/>
      <c r="F111" s="57"/>
      <c r="G111" s="43">
        <v>36205.95943157451</v>
      </c>
      <c r="H111" s="43"/>
      <c r="I111" s="43"/>
      <c r="J111" s="43"/>
      <c r="K111" s="43">
        <v>36205.95943157451</v>
      </c>
      <c r="L111" s="93"/>
      <c r="M111" s="75"/>
      <c r="N111" s="43"/>
      <c r="O111" s="43"/>
      <c r="P111" s="43"/>
      <c r="Q111" s="120"/>
    </row>
    <row r="112" spans="3:17" ht="15" hidden="1">
      <c r="C112" s="4"/>
      <c r="D112" s="44"/>
      <c r="E112" s="45" t="s">
        <v>150</v>
      </c>
      <c r="F112" s="46"/>
      <c r="G112" s="76"/>
      <c r="H112" s="76"/>
      <c r="I112" s="76"/>
      <c r="J112" s="76"/>
      <c r="K112" s="76"/>
      <c r="L112" s="94"/>
      <c r="M112" s="77"/>
      <c r="N112" s="76"/>
      <c r="O112" s="76"/>
      <c r="P112" s="76"/>
      <c r="Q112" s="121"/>
    </row>
    <row r="113" spans="3:17" ht="15">
      <c r="C113" s="4"/>
      <c r="D113" s="14" t="s">
        <v>151</v>
      </c>
      <c r="E113" s="39" t="s">
        <v>152</v>
      </c>
      <c r="F113" s="18" t="str">
        <f>IF(izm_type&lt;&gt;"руб.,Гкал","тыс.","")&amp;"руб."</f>
        <v>руб.</v>
      </c>
      <c r="G113" s="19">
        <f>G115</f>
        <v>9051.489857893628</v>
      </c>
      <c r="H113" s="19"/>
      <c r="I113" s="19"/>
      <c r="J113" s="19"/>
      <c r="K113" s="19"/>
      <c r="L113" s="87">
        <f>L114+L115</f>
        <v>156915.8758406028</v>
      </c>
      <c r="M113" s="65">
        <f>M114+M115</f>
        <v>139621.75</v>
      </c>
      <c r="N113" s="19"/>
      <c r="O113" s="19"/>
      <c r="P113" s="19"/>
      <c r="Q113" s="110">
        <f>Q114+Q115</f>
        <v>138579.04</v>
      </c>
    </row>
    <row r="114" spans="3:17" ht="15">
      <c r="C114" s="4"/>
      <c r="D114" s="14" t="s">
        <v>153</v>
      </c>
      <c r="E114" s="20" t="s">
        <v>154</v>
      </c>
      <c r="F114" s="18" t="str">
        <f>IF(izm_type&lt;&gt;"руб.,Гкал","тыс.","")&amp;"руб."</f>
        <v>руб.</v>
      </c>
      <c r="G114" s="19"/>
      <c r="H114" s="19"/>
      <c r="I114" s="19"/>
      <c r="J114" s="19"/>
      <c r="K114" s="19"/>
      <c r="L114" s="87">
        <f>L105*20%</f>
        <v>79796.87584060278</v>
      </c>
      <c r="M114" s="65">
        <v>45837.55</v>
      </c>
      <c r="N114" s="19"/>
      <c r="O114" s="19"/>
      <c r="P114" s="19"/>
      <c r="Q114" s="110">
        <v>61460.04</v>
      </c>
    </row>
    <row r="115" spans="3:17" ht="15">
      <c r="C115" s="4"/>
      <c r="D115" s="14" t="s">
        <v>153</v>
      </c>
      <c r="E115" s="20" t="s">
        <v>155</v>
      </c>
      <c r="F115" s="18" t="str">
        <f>IF(izm_type&lt;&gt;"руб.,Гкал","тыс.","")&amp;"руб."</f>
        <v>руб.</v>
      </c>
      <c r="G115" s="37">
        <v>9051.489857893628</v>
      </c>
      <c r="H115" s="19"/>
      <c r="I115" s="19"/>
      <c r="J115" s="19"/>
      <c r="K115" s="37"/>
      <c r="L115" s="87">
        <f>L95</f>
        <v>77119</v>
      </c>
      <c r="M115" s="65">
        <v>93784.2</v>
      </c>
      <c r="N115" s="19"/>
      <c r="O115" s="19"/>
      <c r="P115" s="19"/>
      <c r="Q115" s="110">
        <f>Q95</f>
        <v>77119</v>
      </c>
    </row>
    <row r="116" spans="3:17" ht="15">
      <c r="C116" s="4"/>
      <c r="D116" s="14" t="s">
        <v>156</v>
      </c>
      <c r="E116" s="58" t="s">
        <v>157</v>
      </c>
      <c r="F116" s="16" t="s">
        <v>19</v>
      </c>
      <c r="G116" s="17">
        <f>(G105/G104*100)</f>
        <v>0.20490398113256866</v>
      </c>
      <c r="H116" s="17">
        <f aca="true" t="shared" si="30" ref="H116:M116">(H105/H104*100)</f>
        <v>0</v>
      </c>
      <c r="I116" s="17">
        <f>(I105/I104*100)</f>
        <v>0</v>
      </c>
      <c r="J116" s="17">
        <f>(J105/J104*100)</f>
        <v>0</v>
      </c>
      <c r="K116" s="17">
        <f t="shared" si="30"/>
        <v>0.3868045640979582</v>
      </c>
      <c r="L116" s="86">
        <v>1.53</v>
      </c>
      <c r="M116" s="71">
        <f t="shared" si="30"/>
        <v>0.8413313819396138</v>
      </c>
      <c r="N116" s="17">
        <f>(N105/N104*100)</f>
        <v>0</v>
      </c>
      <c r="O116" s="17">
        <f>(O105/O104*100)</f>
        <v>0</v>
      </c>
      <c r="P116" s="17">
        <f>(P105/P104*100)</f>
        <v>0</v>
      </c>
      <c r="Q116" s="107">
        <v>1</v>
      </c>
    </row>
    <row r="117" spans="3:17" ht="15">
      <c r="C117" s="4"/>
      <c r="D117" s="59" t="s">
        <v>158</v>
      </c>
      <c r="E117" s="60" t="s">
        <v>159</v>
      </c>
      <c r="F117" s="53" t="str">
        <f>IF(izm_type&lt;&gt;"руб.,Гкал","тыс.","")&amp;"руб."</f>
        <v>руб.</v>
      </c>
      <c r="G117" s="12">
        <f aca="true" t="shared" si="31" ref="G117:P117">G104+G105</f>
        <v>22132407.26420082</v>
      </c>
      <c r="H117" s="12">
        <f t="shared" si="31"/>
        <v>26793127.961268</v>
      </c>
      <c r="I117" s="12">
        <f t="shared" si="31"/>
        <v>14846260.189721838</v>
      </c>
      <c r="J117" s="12">
        <f t="shared" si="31"/>
        <v>2053725.2707979016</v>
      </c>
      <c r="K117" s="12">
        <f t="shared" si="31"/>
        <v>9396477.99138344</v>
      </c>
      <c r="L117" s="85">
        <f t="shared" si="31"/>
        <v>26476394.784628753</v>
      </c>
      <c r="M117" s="72">
        <f t="shared" si="31"/>
        <v>27470264.779999997</v>
      </c>
      <c r="N117" s="12">
        <f t="shared" si="31"/>
        <v>23672744.18600442</v>
      </c>
      <c r="O117" s="12">
        <f t="shared" si="31"/>
        <v>14133685.330569651</v>
      </c>
      <c r="P117" s="12">
        <f t="shared" si="31"/>
        <v>9539058.85543477</v>
      </c>
      <c r="Q117" s="113">
        <f>Q104+Q105</f>
        <v>31078996.9335766</v>
      </c>
    </row>
    <row r="118" spans="3:17" ht="15.75" thickBot="1">
      <c r="C118" s="4"/>
      <c r="D118" s="61" t="s">
        <v>160</v>
      </c>
      <c r="E118" s="62" t="s">
        <v>161</v>
      </c>
      <c r="F118" s="63" t="s">
        <v>70</v>
      </c>
      <c r="G118" s="12">
        <f aca="true" t="shared" si="32" ref="G118:Q118">(G117/G16)</f>
        <v>1659.5986250900437</v>
      </c>
      <c r="H118" s="12">
        <f t="shared" si="32"/>
        <v>2096.2766337483513</v>
      </c>
      <c r="I118" s="12">
        <f t="shared" si="32"/>
        <v>1784.3489274315905</v>
      </c>
      <c r="J118" s="12">
        <f t="shared" si="32"/>
        <v>13717.434862841372</v>
      </c>
      <c r="K118" s="12">
        <f t="shared" si="32"/>
        <v>2251.1657267148403</v>
      </c>
      <c r="L118" s="85">
        <f t="shared" si="32"/>
        <v>2074.399667034574</v>
      </c>
      <c r="M118" s="72">
        <f t="shared" si="32"/>
        <v>2048.3379825012325</v>
      </c>
      <c r="N118" s="12">
        <f t="shared" si="32"/>
        <v>1765.1946053200109</v>
      </c>
      <c r="O118" s="12">
        <f t="shared" si="32"/>
        <v>1661.095709469567</v>
      </c>
      <c r="P118" s="12">
        <f t="shared" si="32"/>
        <v>1945.8774142397956</v>
      </c>
      <c r="Q118" s="113">
        <f t="shared" si="32"/>
        <v>2431.600191152523</v>
      </c>
    </row>
    <row r="120" spans="5:17" ht="11.25">
      <c r="E120" s="2"/>
      <c r="F120" s="2"/>
      <c r="G120" s="2"/>
      <c r="H120" s="2"/>
      <c r="I120" s="2"/>
      <c r="J120" s="2"/>
      <c r="K120" s="2"/>
      <c r="L120" s="2"/>
      <c r="N120" s="2"/>
      <c r="O120" s="2"/>
      <c r="P120" s="2"/>
      <c r="Q120" s="2"/>
    </row>
    <row r="121" spans="5:17" ht="11.25">
      <c r="E121" s="2"/>
      <c r="F121" s="2"/>
      <c r="G121" s="2"/>
      <c r="H121" s="2"/>
      <c r="I121" s="2"/>
      <c r="J121" s="2"/>
      <c r="K121" s="2"/>
      <c r="L121" s="2"/>
      <c r="N121" s="2"/>
      <c r="O121" s="2"/>
      <c r="P121" s="2"/>
      <c r="Q121" s="2"/>
    </row>
    <row r="122" spans="5:17" ht="11.25">
      <c r="E122" s="2"/>
      <c r="F122" s="2"/>
      <c r="G122" s="2"/>
      <c r="H122" s="2"/>
      <c r="I122" s="2"/>
      <c r="J122" s="2"/>
      <c r="K122" s="2"/>
      <c r="L122" s="2"/>
      <c r="N122" s="2"/>
      <c r="O122" s="2"/>
      <c r="P122" s="2"/>
      <c r="Q122" s="2"/>
    </row>
  </sheetData>
  <sheetProtection/>
  <mergeCells count="22">
    <mergeCell ref="Q6:Q7"/>
    <mergeCell ref="I6:L6"/>
    <mergeCell ref="M6:P6"/>
    <mergeCell ref="D4:P4"/>
    <mergeCell ref="D5:P5"/>
    <mergeCell ref="G6:H6"/>
    <mergeCell ref="D64:D66"/>
    <mergeCell ref="D45:D47"/>
    <mergeCell ref="D48:D50"/>
    <mergeCell ref="D52:D54"/>
    <mergeCell ref="D55:D57"/>
    <mergeCell ref="D58:D60"/>
    <mergeCell ref="D61:D63"/>
    <mergeCell ref="D42:D44"/>
    <mergeCell ref="D6:D7"/>
    <mergeCell ref="E6:E7"/>
    <mergeCell ref="F6:F7"/>
    <mergeCell ref="D26:D28"/>
    <mergeCell ref="D29:D31"/>
    <mergeCell ref="D32:D34"/>
    <mergeCell ref="D35:D37"/>
    <mergeCell ref="D39:D41"/>
  </mergeCells>
  <printOptions/>
  <pageMargins left="0" right="0" top="0" bottom="0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Skripitsyna</dc:creator>
  <cp:keywords/>
  <dc:description/>
  <cp:lastModifiedBy>user</cp:lastModifiedBy>
  <cp:lastPrinted>2013-04-02T13:04:16Z</cp:lastPrinted>
  <dcterms:created xsi:type="dcterms:W3CDTF">2012-05-03T09:06:22Z</dcterms:created>
  <dcterms:modified xsi:type="dcterms:W3CDTF">2013-04-23T04:44:10Z</dcterms:modified>
  <cp:category/>
  <cp:version/>
  <cp:contentType/>
  <cp:contentStatus/>
</cp:coreProperties>
</file>